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127"/>
  <workbookPr autoCompressPictures="0"/>
  <bookViews>
    <workbookView xWindow="0" yWindow="0" windowWidth="29340" windowHeight="21060"/>
  </bookViews>
  <sheets>
    <sheet name="Enunciado" sheetId="2" r:id="rId1"/>
    <sheet name="Datos" sheetId="1" r:id="rId2"/>
  </sheets>
  <definedNames>
    <definedName name="Kd">Datos!$N$68</definedName>
    <definedName name="Keu">Datos!$N$67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8" i="1" l="1"/>
  <c r="N67" i="1"/>
  <c r="H6" i="1"/>
  <c r="H61" i="1"/>
  <c r="G61" i="1"/>
  <c r="C61" i="1"/>
  <c r="D61" i="1"/>
  <c r="E61" i="1"/>
  <c r="F61" i="1"/>
  <c r="I61" i="1"/>
  <c r="J61" i="1"/>
  <c r="K61" i="1"/>
  <c r="L61" i="1"/>
  <c r="B61" i="1"/>
  <c r="K29" i="1"/>
  <c r="J29" i="1"/>
  <c r="I29" i="1"/>
  <c r="H29" i="1"/>
  <c r="K28" i="1"/>
  <c r="J28" i="1"/>
  <c r="I28" i="1"/>
  <c r="H28" i="1"/>
  <c r="K22" i="1"/>
  <c r="J22" i="1"/>
  <c r="I22" i="1"/>
  <c r="H22" i="1"/>
  <c r="I20" i="1"/>
  <c r="J20" i="1"/>
  <c r="K20" i="1"/>
  <c r="H20" i="1"/>
  <c r="C34" i="1"/>
  <c r="H16" i="1"/>
  <c r="I7" i="1"/>
  <c r="J7" i="1"/>
  <c r="K7" i="1"/>
  <c r="H7" i="1"/>
  <c r="I6" i="1"/>
  <c r="J6" i="1"/>
  <c r="K6" i="1"/>
  <c r="K26" i="1"/>
  <c r="J26" i="1"/>
  <c r="I26" i="1"/>
  <c r="H26" i="1"/>
  <c r="L26" i="1"/>
  <c r="K19" i="1"/>
  <c r="J19" i="1"/>
  <c r="I19" i="1"/>
  <c r="H19" i="1"/>
  <c r="L19" i="1"/>
  <c r="K15" i="1"/>
  <c r="J15" i="1"/>
  <c r="I15" i="1"/>
  <c r="H15" i="1"/>
  <c r="K5" i="1"/>
  <c r="J5" i="1"/>
  <c r="I5" i="1"/>
  <c r="H5" i="1"/>
  <c r="L5" i="1"/>
  <c r="K4" i="1"/>
  <c r="J4" i="1"/>
  <c r="I4" i="1"/>
  <c r="H4" i="1"/>
  <c r="L4" i="1"/>
  <c r="I2" i="1"/>
  <c r="J2" i="1"/>
  <c r="K2" i="1"/>
  <c r="H2" i="1"/>
  <c r="L2" i="1"/>
  <c r="D46" i="1"/>
  <c r="E46" i="1"/>
  <c r="F46" i="1"/>
  <c r="D47" i="1"/>
  <c r="E47" i="1"/>
  <c r="F47" i="1"/>
  <c r="D48" i="1"/>
  <c r="E48" i="1"/>
  <c r="F48" i="1"/>
  <c r="D49" i="1"/>
  <c r="E49" i="1"/>
  <c r="F49" i="1"/>
  <c r="D42" i="1"/>
  <c r="E42" i="1"/>
  <c r="F42" i="1"/>
  <c r="D36" i="1"/>
  <c r="E36" i="1"/>
  <c r="F36" i="1"/>
  <c r="D38" i="1"/>
  <c r="E38" i="1"/>
  <c r="F38" i="1"/>
  <c r="D39" i="1"/>
  <c r="E39" i="1"/>
  <c r="F39" i="1"/>
  <c r="D40" i="1"/>
  <c r="E40" i="1"/>
  <c r="F40" i="1"/>
  <c r="C48" i="1"/>
  <c r="C36" i="1"/>
  <c r="C49" i="1"/>
  <c r="C3" i="1"/>
  <c r="D3" i="1"/>
  <c r="E3" i="1"/>
  <c r="C47" i="1"/>
  <c r="C46" i="1"/>
  <c r="C42" i="1"/>
  <c r="C40" i="1"/>
  <c r="C39" i="1"/>
  <c r="C38" i="1"/>
  <c r="D34" i="1"/>
  <c r="D37" i="1"/>
  <c r="E34" i="1"/>
  <c r="E37" i="1"/>
  <c r="F34" i="1"/>
  <c r="F37" i="1"/>
  <c r="C37" i="1"/>
  <c r="C12" i="1"/>
  <c r="D12" i="1"/>
  <c r="E12" i="1"/>
  <c r="F12" i="1"/>
  <c r="D21" i="1"/>
  <c r="D25" i="1"/>
  <c r="D30" i="1"/>
  <c r="D32" i="1"/>
  <c r="D33" i="1"/>
  <c r="D44" i="1"/>
  <c r="E21" i="1"/>
  <c r="E25" i="1"/>
  <c r="E30" i="1"/>
  <c r="E32" i="1"/>
  <c r="E33" i="1"/>
  <c r="E44" i="1"/>
  <c r="F21" i="1"/>
  <c r="F25" i="1"/>
  <c r="F30" i="1"/>
  <c r="F32" i="1"/>
  <c r="F33" i="1"/>
  <c r="C21" i="1"/>
  <c r="C25" i="1"/>
  <c r="C30" i="1"/>
  <c r="B21" i="1"/>
  <c r="B25" i="1"/>
  <c r="B30" i="1"/>
  <c r="B17" i="1"/>
  <c r="C13" i="1"/>
  <c r="D13" i="1"/>
  <c r="E13" i="1"/>
  <c r="F13" i="1"/>
  <c r="F43" i="1"/>
  <c r="B9" i="1"/>
  <c r="K16" i="1"/>
  <c r="D41" i="1"/>
  <c r="I16" i="1"/>
  <c r="L28" i="1"/>
  <c r="P50" i="1"/>
  <c r="L20" i="1"/>
  <c r="L22" i="1"/>
  <c r="L29" i="1"/>
  <c r="I33" i="1"/>
  <c r="B32" i="1"/>
  <c r="B33" i="1"/>
  <c r="H31" i="1"/>
  <c r="C32" i="1"/>
  <c r="C33" i="1"/>
  <c r="I31" i="1"/>
  <c r="F44" i="1"/>
  <c r="F45" i="1"/>
  <c r="K33" i="1"/>
  <c r="C50" i="1"/>
  <c r="C43" i="1"/>
  <c r="E50" i="1"/>
  <c r="K31" i="1"/>
  <c r="J16" i="1"/>
  <c r="J31" i="1"/>
  <c r="J33" i="1"/>
  <c r="E41" i="1"/>
  <c r="E43" i="1"/>
  <c r="E45" i="1"/>
  <c r="F41" i="1"/>
  <c r="C41" i="1"/>
  <c r="D43" i="1"/>
  <c r="D45" i="1"/>
  <c r="D50" i="1"/>
  <c r="D51" i="1"/>
  <c r="F50" i="1"/>
  <c r="F3" i="1"/>
  <c r="O21" i="1"/>
  <c r="O25" i="1"/>
  <c r="O50" i="1"/>
  <c r="P21" i="1"/>
  <c r="P25" i="1"/>
  <c r="Q21" i="1"/>
  <c r="C44" i="1"/>
  <c r="C45" i="1"/>
  <c r="C51" i="1"/>
  <c r="C8" i="1"/>
  <c r="D8" i="1"/>
  <c r="H33" i="1"/>
  <c r="L33" i="1"/>
  <c r="F51" i="1"/>
  <c r="C11" i="1"/>
  <c r="C17" i="1"/>
  <c r="L31" i="1"/>
  <c r="E51" i="1"/>
  <c r="C9" i="1"/>
  <c r="O30" i="1"/>
  <c r="P30" i="1"/>
  <c r="Q25" i="1"/>
  <c r="R21" i="1"/>
  <c r="R25" i="1"/>
  <c r="P32" i="1"/>
  <c r="P45" i="1"/>
  <c r="D11" i="1"/>
  <c r="E8" i="1"/>
  <c r="D9" i="1"/>
  <c r="P55" i="1"/>
  <c r="O55" i="1"/>
  <c r="R30" i="1"/>
  <c r="R55" i="1"/>
  <c r="Q30" i="1"/>
  <c r="P41" i="1"/>
  <c r="P51" i="1"/>
  <c r="O41" i="1"/>
  <c r="Q50" i="1"/>
  <c r="E11" i="1"/>
  <c r="D17" i="1"/>
  <c r="F8" i="1"/>
  <c r="F9" i="1"/>
  <c r="E9" i="1"/>
  <c r="O60" i="1"/>
  <c r="P60" i="1"/>
  <c r="R50" i="1"/>
  <c r="Q55" i="1"/>
  <c r="Q41" i="1"/>
  <c r="R32" i="1"/>
  <c r="R45" i="1"/>
  <c r="O32" i="1"/>
  <c r="Q32" i="1"/>
  <c r="Q45" i="1"/>
  <c r="Q51" i="1"/>
  <c r="S50" i="1"/>
  <c r="T21" i="1"/>
  <c r="T25" i="1"/>
  <c r="S21" i="1"/>
  <c r="S25" i="1"/>
  <c r="F11" i="1"/>
  <c r="F17" i="1"/>
  <c r="E17" i="1"/>
  <c r="Q60" i="1"/>
  <c r="T50" i="1"/>
  <c r="S30" i="1"/>
  <c r="T30" i="1"/>
  <c r="R60" i="1"/>
  <c r="R41" i="1"/>
  <c r="R51" i="1"/>
  <c r="O45" i="1"/>
  <c r="O51" i="1"/>
  <c r="U21" i="1"/>
  <c r="U25" i="1"/>
  <c r="S32" i="1"/>
  <c r="S45" i="1"/>
  <c r="T55" i="1"/>
  <c r="O9" i="1"/>
  <c r="O17" i="1"/>
  <c r="S41" i="1"/>
  <c r="U55" i="1"/>
  <c r="T32" i="1"/>
  <c r="T45" i="1"/>
  <c r="U50" i="1"/>
  <c r="S55" i="1"/>
  <c r="U30" i="1"/>
  <c r="V21" i="1"/>
  <c r="V25" i="1"/>
  <c r="T41" i="1"/>
  <c r="T51" i="1"/>
  <c r="V50" i="1"/>
  <c r="T60" i="1"/>
  <c r="V30" i="1"/>
  <c r="V55" i="1"/>
  <c r="P17" i="1"/>
  <c r="P9" i="1"/>
  <c r="U32" i="1"/>
  <c r="U45" i="1"/>
  <c r="S60" i="1"/>
  <c r="S51" i="1"/>
  <c r="W21" i="1"/>
  <c r="W50" i="1"/>
  <c r="Q17" i="1"/>
  <c r="Q9" i="1"/>
  <c r="V32" i="1"/>
  <c r="V45" i="1"/>
  <c r="U60" i="1"/>
  <c r="U41" i="1"/>
  <c r="U51" i="1"/>
  <c r="W25" i="1"/>
  <c r="X21" i="1"/>
  <c r="X25" i="1"/>
  <c r="X30" i="1"/>
  <c r="X50" i="1"/>
  <c r="R17" i="1"/>
  <c r="V60" i="1"/>
  <c r="W30" i="1"/>
  <c r="R9" i="1"/>
  <c r="W32" i="1"/>
  <c r="W45" i="1"/>
  <c r="X32" i="1"/>
  <c r="X45" i="1"/>
  <c r="W55" i="1"/>
  <c r="X55" i="1"/>
  <c r="S9" i="1"/>
  <c r="V41" i="1"/>
  <c r="V51" i="1"/>
  <c r="S17" i="1"/>
  <c r="W60" i="1"/>
  <c r="X60" i="1"/>
  <c r="X41" i="1"/>
  <c r="X51" i="1"/>
  <c r="T9" i="1"/>
  <c r="T17" i="1"/>
  <c r="W41" i="1"/>
  <c r="W51" i="1"/>
  <c r="U17" i="1"/>
  <c r="U9" i="1"/>
  <c r="V9" i="1"/>
  <c r="V17" i="1"/>
  <c r="X9" i="1"/>
  <c r="W9" i="1"/>
  <c r="X17" i="1"/>
  <c r="W17" i="1"/>
</calcChain>
</file>

<file path=xl/comments1.xml><?xml version="1.0" encoding="utf-8"?>
<comments xmlns="http://schemas.openxmlformats.org/spreadsheetml/2006/main">
  <authors>
    <author>Pablo García Estévez</author>
  </authors>
  <commentList>
    <comment ref="O2" authorId="0">
      <text>
        <r>
          <rPr>
            <b/>
            <sz val="9"/>
            <color indexed="81"/>
            <rFont val="Tahoma"/>
            <family val="2"/>
          </rPr>
          <t>Pablo García Estévez:</t>
        </r>
        <r>
          <rPr>
            <sz val="9"/>
            <color indexed="81"/>
            <rFont val="Tahoma"/>
            <family val="2"/>
          </rPr>
          <t xml:space="preserve">
Es incremento del neto. 
Se calcula como A1 =A0(1+incremento)
Se ajusta luego en la caja</t>
        </r>
      </text>
    </comment>
  </commentList>
</comments>
</file>

<file path=xl/sharedStrings.xml><?xml version="1.0" encoding="utf-8"?>
<sst xmlns="http://schemas.openxmlformats.org/spreadsheetml/2006/main" count="242" uniqueCount="104">
  <si>
    <t>Existencias</t>
  </si>
  <si>
    <t>Otros activos a corto plazo</t>
  </si>
  <si>
    <t>Clientes</t>
  </si>
  <si>
    <t>TOTAL</t>
  </si>
  <si>
    <t>Fondos Propios</t>
  </si>
  <si>
    <t>Proveedores</t>
  </si>
  <si>
    <t>X-4</t>
  </si>
  <si>
    <t>X-3</t>
  </si>
  <si>
    <t>X-2</t>
  </si>
  <si>
    <t>X-1</t>
  </si>
  <si>
    <t>X</t>
  </si>
  <si>
    <t>Ingresos</t>
  </si>
  <si>
    <t>Margen Bruto</t>
  </si>
  <si>
    <t>Coste de Ventas</t>
  </si>
  <si>
    <t>Gastos generales, administrativos y distribución</t>
  </si>
  <si>
    <t>Amortización (Tangible)</t>
  </si>
  <si>
    <t>Amortización (Intangible)</t>
  </si>
  <si>
    <t>EBIT (Ajustado)</t>
  </si>
  <si>
    <t>Dotación provisión LP</t>
  </si>
  <si>
    <t>Amortización Fondo de Comercio</t>
  </si>
  <si>
    <t xml:space="preserve">Otros gastos / ingresos </t>
  </si>
  <si>
    <t>Resultado financiero</t>
  </si>
  <si>
    <t>Beneficio Antes de Impuestos</t>
  </si>
  <si>
    <t>Impuestos</t>
  </si>
  <si>
    <t>Beneficio Neto (reportado)</t>
  </si>
  <si>
    <t>Dividendos</t>
  </si>
  <si>
    <t>Activos Tangibles Netos</t>
  </si>
  <si>
    <t>Fondo de comercio</t>
  </si>
  <si>
    <t>Activos Intangibles Netos</t>
  </si>
  <si>
    <t>Caja &amp; equivalentes</t>
  </si>
  <si>
    <t>Provisiones a largo plazo</t>
  </si>
  <si>
    <t>Deuda financiera a largo plazo</t>
  </si>
  <si>
    <t>Deuda financiera a corto plazo</t>
  </si>
  <si>
    <t>Otros pasivos a corto</t>
  </si>
  <si>
    <t>Ingresos por ventas</t>
  </si>
  <si>
    <t>Pago por compras</t>
  </si>
  <si>
    <t>Costes fijos</t>
  </si>
  <si>
    <t>Otros</t>
  </si>
  <si>
    <t>Caja Operativa</t>
  </si>
  <si>
    <t>Rdos Financieros</t>
  </si>
  <si>
    <t>Amortización Deuda</t>
  </si>
  <si>
    <t>Caja Financiera</t>
  </si>
  <si>
    <t>Inversiones no corrientes</t>
  </si>
  <si>
    <t>Inversiones intangibles</t>
  </si>
  <si>
    <t>Otros activos fijos</t>
  </si>
  <si>
    <t>Caja inversiones</t>
  </si>
  <si>
    <t xml:space="preserve">Variación de Caja </t>
  </si>
  <si>
    <t>Cálculo de la cifra de compra</t>
  </si>
  <si>
    <t>Otros Pasivos a corto</t>
  </si>
  <si>
    <t>Incremento</t>
  </si>
  <si>
    <t>Días</t>
  </si>
  <si>
    <t>Promedio</t>
  </si>
  <si>
    <t>Sobre ventas</t>
  </si>
  <si>
    <t>Sobre EBT</t>
  </si>
  <si>
    <t>Sobre BN</t>
  </si>
  <si>
    <t>X+1</t>
  </si>
  <si>
    <t>X+2</t>
  </si>
  <si>
    <t>X+3</t>
  </si>
  <si>
    <t>X+4</t>
  </si>
  <si>
    <t>X+5</t>
  </si>
  <si>
    <t>X+6</t>
  </si>
  <si>
    <t>X+7</t>
  </si>
  <si>
    <t>X+8</t>
  </si>
  <si>
    <t>X+9</t>
  </si>
  <si>
    <t>X+10</t>
  </si>
  <si>
    <t>Compañías</t>
  </si>
  <si>
    <t>Market Cap EUR Mns</t>
  </si>
  <si>
    <t>EV/Ventas</t>
  </si>
  <si>
    <t>EV/EBITDA</t>
  </si>
  <si>
    <t>P/CF</t>
  </si>
  <si>
    <t>P/E</t>
  </si>
  <si>
    <t>P/BV</t>
  </si>
  <si>
    <t>Media Sector</t>
  </si>
  <si>
    <t>Empresa 1</t>
  </si>
  <si>
    <t>Empresa 2</t>
  </si>
  <si>
    <t>Empresa 3</t>
  </si>
  <si>
    <t>Empresa 4</t>
  </si>
  <si>
    <t>EBIT x t</t>
  </si>
  <si>
    <t>NOPAT</t>
  </si>
  <si>
    <t>Amortizaciones</t>
  </si>
  <si>
    <t>Var NOF</t>
  </si>
  <si>
    <t>CAPEX</t>
  </si>
  <si>
    <t>FCL</t>
  </si>
  <si>
    <t>Equity</t>
  </si>
  <si>
    <t>Deuda</t>
  </si>
  <si>
    <t>VE</t>
  </si>
  <si>
    <t>Beu</t>
  </si>
  <si>
    <t>Keu</t>
  </si>
  <si>
    <t>Kd</t>
  </si>
  <si>
    <t>L</t>
  </si>
  <si>
    <t>We</t>
  </si>
  <si>
    <t>Wd</t>
  </si>
  <si>
    <t>Kel</t>
  </si>
  <si>
    <t>Kd*</t>
  </si>
  <si>
    <t>WACC</t>
  </si>
  <si>
    <t>ROI</t>
  </si>
  <si>
    <t>TIN</t>
  </si>
  <si>
    <t>g</t>
  </si>
  <si>
    <t>NOPAT*</t>
  </si>
  <si>
    <t>FCL*</t>
  </si>
  <si>
    <t xml:space="preserve">FCL </t>
  </si>
  <si>
    <t>Risk Free</t>
  </si>
  <si>
    <t>PRM</t>
  </si>
  <si>
    <t>Coste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</si>
</sst>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0.0%"/>
    <numFmt numFmtId="166" formatCode="#,##0.00000_ ;[Red]\-#,##0.000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7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/>
    <xf numFmtId="164" fontId="0" fillId="0" borderId="0" xfId="0" applyNumberFormat="1" applyFill="1" applyBorder="1"/>
    <xf numFmtId="164" fontId="2" fillId="2" borderId="2" xfId="0" applyNumberFormat="1" applyFont="1" applyFill="1" applyBorder="1"/>
    <xf numFmtId="164" fontId="2" fillId="2" borderId="5" xfId="0" applyNumberFormat="1" applyFont="1" applyFill="1" applyBorder="1"/>
    <xf numFmtId="164" fontId="0" fillId="0" borderId="0" xfId="0" applyNumberFormat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0" fillId="0" borderId="9" xfId="0" applyNumberFormat="1" applyBorder="1"/>
    <xf numFmtId="164" fontId="2" fillId="3" borderId="10" xfId="0" applyNumberFormat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2" fillId="2" borderId="14" xfId="0" applyNumberFormat="1" applyFont="1" applyFill="1" applyBorder="1"/>
    <xf numFmtId="10" fontId="0" fillId="5" borderId="15" xfId="1" applyNumberFormat="1" applyFont="1" applyFill="1" applyBorder="1" applyAlignment="1">
      <alignment horizontal="center"/>
    </xf>
    <xf numFmtId="164" fontId="0" fillId="5" borderId="16" xfId="0" applyNumberFormat="1" applyFill="1" applyBorder="1"/>
    <xf numFmtId="10" fontId="0" fillId="5" borderId="16" xfId="1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0" fillId="5" borderId="17" xfId="0" applyNumberFormat="1" applyFill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2" fillId="0" borderId="24" xfId="0" applyNumberFormat="1" applyFont="1" applyBorder="1"/>
    <xf numFmtId="164" fontId="2" fillId="0" borderId="0" xfId="0" applyNumberFormat="1" applyFont="1" applyBorder="1"/>
    <xf numFmtId="164" fontId="2" fillId="0" borderId="25" xfId="0" applyNumberFormat="1" applyFont="1" applyBorder="1"/>
    <xf numFmtId="164" fontId="2" fillId="0" borderId="26" xfId="0" applyNumberFormat="1" applyFont="1" applyBorder="1"/>
    <xf numFmtId="164" fontId="2" fillId="0" borderId="27" xfId="0" applyNumberFormat="1" applyFont="1" applyBorder="1"/>
    <xf numFmtId="164" fontId="2" fillId="0" borderId="28" xfId="0" applyNumberFormat="1" applyFont="1" applyBorder="1"/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164" fontId="3" fillId="4" borderId="7" xfId="0" applyNumberFormat="1" applyFont="1" applyFill="1" applyBorder="1" applyAlignment="1">
      <alignment horizontal="center"/>
    </xf>
    <xf numFmtId="164" fontId="3" fillId="4" borderId="8" xfId="0" applyNumberFormat="1" applyFont="1" applyFill="1" applyBorder="1" applyAlignment="1">
      <alignment horizontal="center"/>
    </xf>
    <xf numFmtId="10" fontId="4" fillId="0" borderId="22" xfId="1" applyNumberFormat="1" applyFont="1" applyBorder="1" applyAlignment="1">
      <alignment horizontal="center"/>
    </xf>
    <xf numFmtId="10" fontId="4" fillId="0" borderId="23" xfId="1" applyNumberFormat="1" applyFont="1" applyBorder="1" applyAlignment="1">
      <alignment horizontal="center"/>
    </xf>
    <xf numFmtId="164" fontId="4" fillId="0" borderId="0" xfId="0" applyNumberFormat="1" applyFont="1" applyBorder="1"/>
    <xf numFmtId="164" fontId="4" fillId="0" borderId="25" xfId="0" applyNumberFormat="1" applyFont="1" applyBorder="1"/>
    <xf numFmtId="10" fontId="4" fillId="0" borderId="0" xfId="1" applyNumberFormat="1" applyFont="1" applyBorder="1" applyAlignment="1">
      <alignment horizontal="center"/>
    </xf>
    <xf numFmtId="10" fontId="4" fillId="0" borderId="25" xfId="1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28" xfId="0" applyNumberFormat="1" applyFont="1" applyBorder="1"/>
    <xf numFmtId="165" fontId="4" fillId="0" borderId="0" xfId="1" applyNumberFormat="1" applyFont="1" applyBorder="1" applyAlignment="1">
      <alignment horizontal="center"/>
    </xf>
    <xf numFmtId="165" fontId="4" fillId="0" borderId="25" xfId="1" applyNumberFormat="1" applyFont="1" applyBorder="1" applyAlignment="1">
      <alignment horizontal="center"/>
    </xf>
    <xf numFmtId="164" fontId="0" fillId="0" borderId="33" xfId="0" applyNumberFormat="1" applyBorder="1"/>
    <xf numFmtId="164" fontId="0" fillId="0" borderId="34" xfId="0" applyNumberFormat="1" applyBorder="1"/>
    <xf numFmtId="164" fontId="2" fillId="0" borderId="33" xfId="0" applyNumberFormat="1" applyFont="1" applyBorder="1"/>
    <xf numFmtId="164" fontId="0" fillId="0" borderId="33" xfId="0" applyNumberFormat="1" applyFill="1" applyBorder="1"/>
    <xf numFmtId="164" fontId="0" fillId="0" borderId="35" xfId="0" applyNumberFormat="1" applyBorder="1"/>
    <xf numFmtId="164" fontId="2" fillId="6" borderId="4" xfId="0" applyNumberFormat="1" applyFont="1" applyFill="1" applyBorder="1" applyAlignment="1">
      <alignment horizontal="center"/>
    </xf>
    <xf numFmtId="164" fontId="0" fillId="7" borderId="36" xfId="0" applyNumberFormat="1" applyFill="1" applyBorder="1"/>
    <xf numFmtId="164" fontId="0" fillId="7" borderId="35" xfId="0" applyNumberFormat="1" applyFill="1" applyBorder="1"/>
    <xf numFmtId="164" fontId="0" fillId="7" borderId="3" xfId="0" applyNumberFormat="1" applyFill="1" applyBorder="1"/>
    <xf numFmtId="164" fontId="2" fillId="7" borderId="35" xfId="0" applyNumberFormat="1" applyFont="1" applyFill="1" applyBorder="1"/>
    <xf numFmtId="164" fontId="2" fillId="7" borderId="37" xfId="0" applyNumberFormat="1" applyFont="1" applyFill="1" applyBorder="1"/>
    <xf numFmtId="164" fontId="0" fillId="7" borderId="38" xfId="0" applyNumberFormat="1" applyFill="1" applyBorder="1"/>
    <xf numFmtId="164" fontId="2" fillId="7" borderId="39" xfId="0" applyNumberFormat="1" applyFont="1" applyFill="1" applyBorder="1"/>
    <xf numFmtId="164" fontId="0" fillId="7" borderId="39" xfId="0" applyNumberFormat="1" applyFill="1" applyBorder="1"/>
    <xf numFmtId="164" fontId="0" fillId="7" borderId="40" xfId="0" applyNumberFormat="1" applyFill="1" applyBorder="1"/>
    <xf numFmtId="164" fontId="0" fillId="7" borderId="4" xfId="0" applyNumberFormat="1" applyFill="1" applyBorder="1"/>
    <xf numFmtId="164" fontId="2" fillId="7" borderId="41" xfId="0" applyNumberFormat="1" applyFont="1" applyFill="1" applyBorder="1"/>
    <xf numFmtId="164" fontId="0" fillId="0" borderId="42" xfId="0" applyNumberFormat="1" applyBorder="1"/>
    <xf numFmtId="164" fontId="0" fillId="0" borderId="43" xfId="0" applyNumberFormat="1" applyBorder="1"/>
    <xf numFmtId="164" fontId="2" fillId="0" borderId="19" xfId="0" applyNumberFormat="1" applyFont="1" applyBorder="1"/>
    <xf numFmtId="164" fontId="2" fillId="0" borderId="18" xfId="0" applyNumberFormat="1" applyFont="1" applyBorder="1"/>
    <xf numFmtId="164" fontId="0" fillId="0" borderId="44" xfId="0" applyNumberFormat="1" applyBorder="1"/>
    <xf numFmtId="164" fontId="2" fillId="8" borderId="34" xfId="0" applyNumberFormat="1" applyFont="1" applyFill="1" applyBorder="1"/>
    <xf numFmtId="164" fontId="2" fillId="8" borderId="0" xfId="0" applyNumberFormat="1" applyFont="1" applyFill="1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6" xfId="0" applyNumberFormat="1" applyBorder="1"/>
    <xf numFmtId="164" fontId="0" fillId="0" borderId="46" xfId="0" applyNumberFormat="1" applyBorder="1"/>
    <xf numFmtId="164" fontId="0" fillId="0" borderId="47" xfId="0" applyNumberFormat="1" applyBorder="1"/>
    <xf numFmtId="164" fontId="2" fillId="0" borderId="47" xfId="0" applyNumberFormat="1" applyFont="1" applyBorder="1"/>
    <xf numFmtId="164" fontId="2" fillId="0" borderId="45" xfId="0" applyNumberFormat="1" applyFont="1" applyBorder="1"/>
    <xf numFmtId="165" fontId="0" fillId="0" borderId="0" xfId="1" applyNumberFormat="1" applyFont="1"/>
    <xf numFmtId="10" fontId="0" fillId="0" borderId="0" xfId="1" applyNumberFormat="1" applyFont="1"/>
    <xf numFmtId="10" fontId="2" fillId="0" borderId="0" xfId="1" applyNumberFormat="1" applyFont="1"/>
    <xf numFmtId="10" fontId="2" fillId="0" borderId="47" xfId="1" applyNumberFormat="1" applyFont="1" applyBorder="1"/>
    <xf numFmtId="164" fontId="2" fillId="3" borderId="2" xfId="0" applyNumberFormat="1" applyFont="1" applyFill="1" applyBorder="1"/>
    <xf numFmtId="164" fontId="2" fillId="3" borderId="47" xfId="0" applyNumberFormat="1" applyFont="1" applyFill="1" applyBorder="1"/>
    <xf numFmtId="164" fontId="2" fillId="3" borderId="45" xfId="0" applyNumberFormat="1" applyFont="1" applyFill="1" applyBorder="1"/>
    <xf numFmtId="166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45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164" fontId="0" fillId="9" borderId="4" xfId="0" applyNumberFormat="1" applyFill="1" applyBorder="1"/>
    <xf numFmtId="10" fontId="0" fillId="5" borderId="17" xfId="1" applyNumberFormat="1" applyFont="1" applyFill="1" applyBorder="1"/>
  </cellXfs>
  <cellStyles count="4">
    <cellStyle name="Hipervínculo" xfId="2" builtinId="8" hidden="1"/>
    <cellStyle name="Hipervínculo visitado" xfId="3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558800</xdr:colOff>
      <xdr:row>6</xdr:row>
      <xdr:rowOff>12700</xdr:rowOff>
    </xdr:from>
    <xdr:to>
      <xdr:col>10</xdr:col>
      <xdr:colOff>495300</xdr:colOff>
      <xdr:row>46</xdr:row>
      <xdr:rowOff>165100</xdr:rowOff>
    </xdr:to>
    <xdr:sp macro="" textlink="">
      <xdr:nvSpPr>
        <xdr:cNvPr id="2" name="CuadroTexto 1"/>
        <xdr:cNvSpPr txBox="1"/>
      </xdr:nvSpPr>
      <xdr:spPr>
        <a:xfrm>
          <a:off x="1384300" y="1079500"/>
          <a:ext cx="7366000" cy="726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800"/>
            <a:t>La empresa Espinar es una empresa comercialque no cotiza en bolsa. La beta desapalancada de su sector es de 0,85, siendo Rf = 1% y la PRM de 6%. Todas las operaciones NO tienen IVA. </a:t>
          </a:r>
        </a:p>
        <a:p>
          <a:endParaRPr lang="es-ES" sz="2800"/>
        </a:p>
        <a:p>
          <a:r>
            <a:rPr lang="es-ES" sz="2800"/>
            <a:t>Valorar la compañ</a:t>
          </a:r>
          <a:r>
            <a:rPr lang="es-ES" sz="2800"/>
            <a:t>ía</a:t>
          </a:r>
          <a:r>
            <a:rPr lang="es-ES" sz="2800" baseline="0"/>
            <a:t> por descuento de flujos y por multiplos.</a:t>
          </a:r>
        </a:p>
        <a:p>
          <a:endParaRPr lang="es-ES" sz="2800" baseline="0"/>
        </a:p>
        <a:p>
          <a:r>
            <a:rPr lang="es-ES" sz="2800" baseline="0"/>
            <a:t>La solución no es única. Dependera de los supuestos de nuestras proyeccciones. debemos realizar poryecciones a 10 años.</a:t>
          </a:r>
          <a:endParaRPr lang="es-ES" sz="2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3" workbookViewId="0">
      <selection activeCell="B8" sqref="B8"/>
    </sheetView>
  </sheetViews>
  <sheetFormatPr baseColWidth="10" defaultRowHeight="14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2"/>
  <sheetViews>
    <sheetView showGridLines="0" workbookViewId="0">
      <selection activeCell="M71" sqref="M71"/>
    </sheetView>
  </sheetViews>
  <sheetFormatPr baseColWidth="10" defaultColWidth="11.5" defaultRowHeight="14" x14ac:dyDescent="0"/>
  <cols>
    <col min="1" max="1" width="26" style="1" customWidth="1"/>
    <col min="2" max="6" width="11.5" style="1"/>
    <col min="8" max="8" width="9.5" style="1" bestFit="1" customWidth="1"/>
    <col min="9" max="10" width="8.5" style="1" bestFit="1" customWidth="1"/>
    <col min="11" max="11" width="9.5" style="1" bestFit="1" customWidth="1"/>
    <col min="13" max="13" width="26" style="1" customWidth="1"/>
    <col min="14" max="16384" width="11.5" style="1"/>
  </cols>
  <sheetData>
    <row r="1" spans="1:24" ht="15" thickBot="1">
      <c r="A1" s="7"/>
      <c r="B1" s="8" t="s">
        <v>6</v>
      </c>
      <c r="C1" s="9" t="s">
        <v>7</v>
      </c>
      <c r="D1" s="9" t="s">
        <v>8</v>
      </c>
      <c r="E1" s="9" t="s">
        <v>9</v>
      </c>
      <c r="F1" s="10" t="s">
        <v>10</v>
      </c>
      <c r="H1" s="46" t="s">
        <v>7</v>
      </c>
      <c r="I1" s="46" t="s">
        <v>8</v>
      </c>
      <c r="J1" s="46" t="s">
        <v>9</v>
      </c>
      <c r="K1" s="47" t="s">
        <v>10</v>
      </c>
      <c r="L1" s="1" t="s">
        <v>51</v>
      </c>
      <c r="M1" s="7"/>
      <c r="N1" s="12" t="s">
        <v>10</v>
      </c>
      <c r="O1" s="65" t="s">
        <v>55</v>
      </c>
      <c r="P1" s="65" t="s">
        <v>56</v>
      </c>
      <c r="Q1" s="65" t="s">
        <v>57</v>
      </c>
      <c r="R1" s="65" t="s">
        <v>58</v>
      </c>
      <c r="S1" s="65" t="s">
        <v>59</v>
      </c>
      <c r="T1" s="65" t="s">
        <v>60</v>
      </c>
      <c r="U1" s="65" t="s">
        <v>61</v>
      </c>
      <c r="V1" s="65" t="s">
        <v>62</v>
      </c>
      <c r="W1" s="65" t="s">
        <v>63</v>
      </c>
      <c r="X1" s="65" t="s">
        <v>64</v>
      </c>
    </row>
    <row r="2" spans="1:24">
      <c r="A2" s="23" t="s">
        <v>26</v>
      </c>
      <c r="B2" s="26">
        <v>50000</v>
      </c>
      <c r="C2" s="27">
        <v>51500</v>
      </c>
      <c r="D2" s="27">
        <v>53000</v>
      </c>
      <c r="E2" s="27">
        <v>54500</v>
      </c>
      <c r="F2" s="27">
        <v>56000</v>
      </c>
      <c r="G2" s="43" t="s">
        <v>49</v>
      </c>
      <c r="H2" s="48">
        <f>(C2/B2)-1</f>
        <v>3.0000000000000027E-2</v>
      </c>
      <c r="I2" s="48">
        <f t="shared" ref="I2:K2" si="0">(D2/C2)-1</f>
        <v>2.9126213592232997E-2</v>
      </c>
      <c r="J2" s="48">
        <f t="shared" si="0"/>
        <v>2.8301886792452935E-2</v>
      </c>
      <c r="K2" s="49">
        <f t="shared" si="0"/>
        <v>2.7522935779816571E-2</v>
      </c>
      <c r="L2" s="18">
        <f>AVERAGE(H2:K2)</f>
        <v>2.8737759041125632E-2</v>
      </c>
      <c r="M2" s="14" t="s">
        <v>26</v>
      </c>
      <c r="N2" s="66">
        <v>56000</v>
      </c>
    </row>
    <row r="3" spans="1:24">
      <c r="A3" s="24" t="s">
        <v>27</v>
      </c>
      <c r="B3" s="29">
        <v>5000</v>
      </c>
      <c r="C3" s="13">
        <f>B3+C27</f>
        <v>4450</v>
      </c>
      <c r="D3" s="13">
        <f t="shared" ref="D3:F3" si="1">C3+D27</f>
        <v>3900</v>
      </c>
      <c r="E3" s="13">
        <f t="shared" si="1"/>
        <v>3350</v>
      </c>
      <c r="F3" s="13">
        <f t="shared" si="1"/>
        <v>2800</v>
      </c>
      <c r="G3" s="44"/>
      <c r="H3" s="50"/>
      <c r="I3" s="50"/>
      <c r="J3" s="50"/>
      <c r="K3" s="51"/>
      <c r="L3" s="19"/>
      <c r="M3" s="15" t="s">
        <v>27</v>
      </c>
      <c r="N3" s="67">
        <v>2800</v>
      </c>
    </row>
    <row r="4" spans="1:24">
      <c r="A4" s="24" t="s">
        <v>28</v>
      </c>
      <c r="B4" s="29">
        <v>12000</v>
      </c>
      <c r="C4" s="13">
        <v>12100</v>
      </c>
      <c r="D4" s="13">
        <v>12200</v>
      </c>
      <c r="E4" s="13">
        <v>12300</v>
      </c>
      <c r="F4" s="13">
        <v>12400</v>
      </c>
      <c r="G4" s="44" t="s">
        <v>49</v>
      </c>
      <c r="H4" s="52">
        <f>(C4/B4)-1</f>
        <v>8.3333333333333037E-3</v>
      </c>
      <c r="I4" s="52">
        <f t="shared" ref="I4:I5" si="2">(D4/C4)-1</f>
        <v>8.2644628099173278E-3</v>
      </c>
      <c r="J4" s="52">
        <f t="shared" ref="J4:J5" si="3">(E4/D4)-1</f>
        <v>8.1967213114753079E-3</v>
      </c>
      <c r="K4" s="53">
        <f t="shared" ref="K4:K5" si="4">(F4/E4)-1</f>
        <v>8.1300813008129413E-3</v>
      </c>
      <c r="L4" s="20">
        <f t="shared" ref="L4:L5" si="5">AVERAGE(H4:K4)</f>
        <v>8.2311496888847202E-3</v>
      </c>
      <c r="M4" s="15" t="s">
        <v>28</v>
      </c>
      <c r="N4" s="67">
        <v>12400</v>
      </c>
    </row>
    <row r="5" spans="1:24">
      <c r="A5" s="24" t="s">
        <v>1</v>
      </c>
      <c r="B5" s="29">
        <v>500</v>
      </c>
      <c r="C5" s="13">
        <v>520</v>
      </c>
      <c r="D5" s="13">
        <v>540</v>
      </c>
      <c r="E5" s="13">
        <v>560</v>
      </c>
      <c r="F5" s="13">
        <v>580</v>
      </c>
      <c r="G5" s="44" t="s">
        <v>49</v>
      </c>
      <c r="H5" s="52">
        <f>(C5/B5)-1</f>
        <v>4.0000000000000036E-2</v>
      </c>
      <c r="I5" s="52">
        <f t="shared" si="2"/>
        <v>3.8461538461538547E-2</v>
      </c>
      <c r="J5" s="52">
        <f t="shared" si="3"/>
        <v>3.7037037037036979E-2</v>
      </c>
      <c r="K5" s="53">
        <f t="shared" si="4"/>
        <v>3.5714285714285809E-2</v>
      </c>
      <c r="L5" s="20">
        <f t="shared" si="5"/>
        <v>3.7803215303215343E-2</v>
      </c>
      <c r="M5" s="15" t="s">
        <v>1</v>
      </c>
      <c r="N5" s="67">
        <v>580</v>
      </c>
    </row>
    <row r="6" spans="1:24">
      <c r="A6" s="24" t="s">
        <v>0</v>
      </c>
      <c r="B6" s="29">
        <v>3500</v>
      </c>
      <c r="C6" s="13">
        <v>3525</v>
      </c>
      <c r="D6" s="13">
        <v>3550</v>
      </c>
      <c r="E6" s="13">
        <v>3575</v>
      </c>
      <c r="F6" s="13">
        <v>3600</v>
      </c>
      <c r="G6" s="44" t="s">
        <v>50</v>
      </c>
      <c r="H6" s="54">
        <f>-C6*365/C20</f>
        <v>68.62</v>
      </c>
      <c r="I6" s="54">
        <f t="shared" ref="I6:K6" si="6">-D6*365/D20</f>
        <v>68.19736842105263</v>
      </c>
      <c r="J6" s="54">
        <f t="shared" si="6"/>
        <v>68.318062827225134</v>
      </c>
      <c r="K6" s="55">
        <f t="shared" si="6"/>
        <v>68.259740259740255</v>
      </c>
      <c r="L6" s="21">
        <v>68</v>
      </c>
      <c r="M6" s="15" t="s">
        <v>0</v>
      </c>
      <c r="N6" s="67">
        <v>3600</v>
      </c>
    </row>
    <row r="7" spans="1:24">
      <c r="A7" s="24" t="s">
        <v>2</v>
      </c>
      <c r="B7" s="29">
        <v>4500</v>
      </c>
      <c r="C7" s="13">
        <v>4550</v>
      </c>
      <c r="D7" s="13">
        <v>4560</v>
      </c>
      <c r="E7" s="13">
        <v>4580</v>
      </c>
      <c r="F7" s="13">
        <v>4600</v>
      </c>
      <c r="G7" s="44" t="s">
        <v>50</v>
      </c>
      <c r="H7" s="54">
        <f>C7*365/C19</f>
        <v>41.260869565217391</v>
      </c>
      <c r="I7" s="54">
        <f t="shared" ref="I7:K7" si="7">D7*365/D19</f>
        <v>40.251511487303503</v>
      </c>
      <c r="J7" s="54">
        <f t="shared" si="7"/>
        <v>39.473435655253837</v>
      </c>
      <c r="K7" s="55">
        <f t="shared" si="7"/>
        <v>39.599056603773583</v>
      </c>
      <c r="L7" s="21">
        <v>40</v>
      </c>
      <c r="M7" s="15" t="s">
        <v>2</v>
      </c>
      <c r="N7" s="67">
        <v>4600</v>
      </c>
    </row>
    <row r="8" spans="1:24" ht="15" thickBot="1">
      <c r="A8" s="25" t="s">
        <v>29</v>
      </c>
      <c r="B8" s="29">
        <v>2000</v>
      </c>
      <c r="C8" s="13">
        <f>B8+C51</f>
        <v>1682.5</v>
      </c>
      <c r="D8" s="13">
        <f t="shared" ref="D8:F8" si="8">C8+D51</f>
        <v>1498.5</v>
      </c>
      <c r="E8" s="13">
        <f t="shared" si="8"/>
        <v>1544</v>
      </c>
      <c r="F8" s="13">
        <f t="shared" si="8"/>
        <v>1542</v>
      </c>
      <c r="G8" s="44"/>
      <c r="H8" s="50"/>
      <c r="I8" s="50"/>
      <c r="J8" s="50"/>
      <c r="K8" s="51"/>
      <c r="L8" s="19"/>
      <c r="M8" s="16" t="s">
        <v>29</v>
      </c>
      <c r="N8" s="68">
        <v>1542</v>
      </c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" thickBot="1">
      <c r="A9" s="5" t="s">
        <v>3</v>
      </c>
      <c r="B9" s="31">
        <f>SUM(B2:B8)</f>
        <v>77500</v>
      </c>
      <c r="C9" s="32">
        <f t="shared" ref="C9:F9" si="9">SUM(C2:C8)</f>
        <v>78327.5</v>
      </c>
      <c r="D9" s="32">
        <f t="shared" si="9"/>
        <v>79248.5</v>
      </c>
      <c r="E9" s="32">
        <f t="shared" si="9"/>
        <v>80409</v>
      </c>
      <c r="F9" s="32">
        <f t="shared" si="9"/>
        <v>81522</v>
      </c>
      <c r="G9" s="44"/>
      <c r="H9" s="50"/>
      <c r="I9" s="50"/>
      <c r="J9" s="50"/>
      <c r="K9" s="51"/>
      <c r="L9" s="19"/>
      <c r="M9" s="6" t="s">
        <v>3</v>
      </c>
      <c r="N9" s="69">
        <v>81522</v>
      </c>
      <c r="O9" s="3">
        <f>SUM(O2:O8)</f>
        <v>0</v>
      </c>
      <c r="P9" s="3">
        <f t="shared" ref="P9:X9" si="10">SUM(P2:P8)</f>
        <v>0</v>
      </c>
      <c r="Q9" s="3">
        <f t="shared" si="10"/>
        <v>0</v>
      </c>
      <c r="R9" s="3">
        <f t="shared" si="10"/>
        <v>0</v>
      </c>
      <c r="S9" s="3">
        <f t="shared" si="10"/>
        <v>0</v>
      </c>
      <c r="T9" s="3">
        <f t="shared" si="10"/>
        <v>0</v>
      </c>
      <c r="U9" s="3">
        <f t="shared" si="10"/>
        <v>0</v>
      </c>
      <c r="V9" s="3">
        <f t="shared" si="10"/>
        <v>0</v>
      </c>
      <c r="W9" s="3">
        <f t="shared" si="10"/>
        <v>0</v>
      </c>
      <c r="X9" s="3">
        <f t="shared" si="10"/>
        <v>0</v>
      </c>
    </row>
    <row r="10" spans="1:24">
      <c r="A10" s="83"/>
      <c r="B10" s="29"/>
      <c r="C10" s="13"/>
      <c r="D10" s="13"/>
      <c r="E10" s="13"/>
      <c r="F10" s="13"/>
      <c r="G10" s="44"/>
      <c r="H10" s="50"/>
      <c r="I10" s="50"/>
      <c r="J10" s="50"/>
      <c r="K10" s="51"/>
      <c r="L10" s="19"/>
      <c r="M10" s="82"/>
      <c r="N10" s="67"/>
    </row>
    <row r="11" spans="1:24">
      <c r="A11" s="24" t="s">
        <v>4</v>
      </c>
      <c r="B11" s="29">
        <v>40000</v>
      </c>
      <c r="C11" s="13">
        <f>B11+C32+C33</f>
        <v>41832.5</v>
      </c>
      <c r="D11" s="13">
        <f t="shared" ref="D11:F11" si="11">C11+D32+D33</f>
        <v>43753.5</v>
      </c>
      <c r="E11" s="13">
        <f t="shared" si="11"/>
        <v>45909</v>
      </c>
      <c r="F11" s="13">
        <f t="shared" si="11"/>
        <v>48042</v>
      </c>
      <c r="G11" s="44"/>
      <c r="H11" s="50"/>
      <c r="I11" s="50"/>
      <c r="J11" s="50"/>
      <c r="K11" s="51"/>
      <c r="L11" s="19"/>
      <c r="M11" s="15" t="s">
        <v>4</v>
      </c>
      <c r="N11" s="67">
        <v>48042</v>
      </c>
    </row>
    <row r="12" spans="1:24">
      <c r="A12" s="24" t="s">
        <v>30</v>
      </c>
      <c r="B12" s="29">
        <v>1800</v>
      </c>
      <c r="C12" s="13">
        <f>B12-C26</f>
        <v>2005</v>
      </c>
      <c r="D12" s="13">
        <f t="shared" ref="D12:F12" si="12">C12-D26</f>
        <v>2200</v>
      </c>
      <c r="E12" s="13">
        <f t="shared" si="12"/>
        <v>2390</v>
      </c>
      <c r="F12" s="13">
        <f t="shared" si="12"/>
        <v>2570</v>
      </c>
      <c r="G12" s="44"/>
      <c r="H12" s="52"/>
      <c r="I12" s="52"/>
      <c r="J12" s="52"/>
      <c r="K12" s="53"/>
      <c r="L12" s="19"/>
      <c r="M12" s="15" t="s">
        <v>30</v>
      </c>
      <c r="N12" s="67">
        <v>2570</v>
      </c>
    </row>
    <row r="13" spans="1:24">
      <c r="A13" s="24" t="s">
        <v>31</v>
      </c>
      <c r="B13" s="29">
        <v>32000</v>
      </c>
      <c r="C13" s="13">
        <f>B13-C14</f>
        <v>30800</v>
      </c>
      <c r="D13" s="13">
        <f t="shared" ref="D13:F13" si="13">C13-D14</f>
        <v>29600</v>
      </c>
      <c r="E13" s="13">
        <f t="shared" si="13"/>
        <v>28400</v>
      </c>
      <c r="F13" s="13">
        <f t="shared" si="13"/>
        <v>27200</v>
      </c>
      <c r="G13" s="44"/>
      <c r="H13" s="50"/>
      <c r="I13" s="50"/>
      <c r="J13" s="50"/>
      <c r="K13" s="51"/>
      <c r="L13" s="19"/>
      <c r="M13" s="15" t="s">
        <v>31</v>
      </c>
      <c r="N13" s="67">
        <v>27200</v>
      </c>
    </row>
    <row r="14" spans="1:24">
      <c r="A14" s="24" t="s">
        <v>32</v>
      </c>
      <c r="B14" s="29">
        <v>1200</v>
      </c>
      <c r="C14" s="13">
        <v>1200</v>
      </c>
      <c r="D14" s="13">
        <v>1200</v>
      </c>
      <c r="E14" s="13">
        <v>1200</v>
      </c>
      <c r="F14" s="13">
        <v>1200</v>
      </c>
      <c r="G14" s="44"/>
      <c r="H14" s="50"/>
      <c r="I14" s="50"/>
      <c r="J14" s="50"/>
      <c r="K14" s="51"/>
      <c r="L14" s="19"/>
      <c r="M14" s="15" t="s">
        <v>32</v>
      </c>
      <c r="N14" s="67">
        <v>1200</v>
      </c>
    </row>
    <row r="15" spans="1:24">
      <c r="A15" s="24" t="s">
        <v>33</v>
      </c>
      <c r="B15" s="29">
        <v>300</v>
      </c>
      <c r="C15" s="13">
        <v>290</v>
      </c>
      <c r="D15" s="13">
        <v>280</v>
      </c>
      <c r="E15" s="13">
        <v>280</v>
      </c>
      <c r="F15" s="13">
        <v>275</v>
      </c>
      <c r="G15" s="44" t="s">
        <v>49</v>
      </c>
      <c r="H15" s="52">
        <f>(C15/B15)-1</f>
        <v>-3.3333333333333326E-2</v>
      </c>
      <c r="I15" s="52">
        <f t="shared" ref="I15" si="14">(D15/C15)-1</f>
        <v>-3.4482758620689613E-2</v>
      </c>
      <c r="J15" s="52">
        <f t="shared" ref="J15" si="15">(E15/D15)-1</f>
        <v>0</v>
      </c>
      <c r="K15" s="53">
        <f t="shared" ref="K15" si="16">(F15/E15)-1</f>
        <v>-1.7857142857142905E-2</v>
      </c>
      <c r="L15" s="20">
        <v>0.3</v>
      </c>
      <c r="M15" s="15" t="s">
        <v>33</v>
      </c>
      <c r="N15" s="67">
        <v>275</v>
      </c>
    </row>
    <row r="16" spans="1:24" ht="15" thickBot="1">
      <c r="A16" s="25" t="s">
        <v>5</v>
      </c>
      <c r="B16" s="29">
        <v>2200</v>
      </c>
      <c r="C16" s="13">
        <v>2200</v>
      </c>
      <c r="D16" s="13">
        <v>2215</v>
      </c>
      <c r="E16" s="13">
        <v>2230</v>
      </c>
      <c r="F16" s="13">
        <v>2235</v>
      </c>
      <c r="G16" s="44" t="s">
        <v>50</v>
      </c>
      <c r="H16" s="54">
        <f>C16*365/C34</f>
        <v>42.769640479360852</v>
      </c>
      <c r="I16" s="54">
        <f t="shared" ref="I16:K16" si="17">D16*365/D34</f>
        <v>42.495400788436271</v>
      </c>
      <c r="J16" s="54">
        <f t="shared" si="17"/>
        <v>42.559477124183005</v>
      </c>
      <c r="K16" s="55">
        <f t="shared" si="17"/>
        <v>42.322957198443582</v>
      </c>
      <c r="L16" s="21">
        <v>42</v>
      </c>
      <c r="M16" s="16" t="s">
        <v>5</v>
      </c>
      <c r="N16" s="67">
        <v>2235</v>
      </c>
    </row>
    <row r="17" spans="1:24" ht="15" thickBot="1">
      <c r="A17" s="5" t="s">
        <v>3</v>
      </c>
      <c r="B17" s="34">
        <f>SUM(B11:B16)</f>
        <v>77500</v>
      </c>
      <c r="C17" s="35">
        <f t="shared" ref="C17:F17" si="18">SUM(C11:C16)</f>
        <v>78327.5</v>
      </c>
      <c r="D17" s="35">
        <f t="shared" si="18"/>
        <v>79248.5</v>
      </c>
      <c r="E17" s="35">
        <f t="shared" si="18"/>
        <v>80409</v>
      </c>
      <c r="F17" s="35">
        <f t="shared" si="18"/>
        <v>81522</v>
      </c>
      <c r="G17" s="45"/>
      <c r="H17" s="56"/>
      <c r="I17" s="56"/>
      <c r="J17" s="56"/>
      <c r="K17" s="57"/>
      <c r="L17" s="19"/>
      <c r="M17" s="17" t="s">
        <v>3</v>
      </c>
      <c r="N17" s="70">
        <v>81522</v>
      </c>
      <c r="O17" s="3">
        <f>SUM(O11:O16)</f>
        <v>0</v>
      </c>
      <c r="P17" s="3">
        <f t="shared" ref="P17:X17" si="19">SUM(P11:P16)</f>
        <v>0</v>
      </c>
      <c r="Q17" s="3">
        <f t="shared" si="19"/>
        <v>0</v>
      </c>
      <c r="R17" s="3">
        <f t="shared" si="19"/>
        <v>0</v>
      </c>
      <c r="S17" s="3">
        <f t="shared" si="19"/>
        <v>0</v>
      </c>
      <c r="T17" s="3">
        <f t="shared" si="19"/>
        <v>0</v>
      </c>
      <c r="U17" s="3">
        <f t="shared" si="19"/>
        <v>0</v>
      </c>
      <c r="V17" s="3">
        <f t="shared" si="19"/>
        <v>0</v>
      </c>
      <c r="W17" s="3">
        <f t="shared" si="19"/>
        <v>0</v>
      </c>
      <c r="X17" s="3">
        <f t="shared" si="19"/>
        <v>0</v>
      </c>
    </row>
    <row r="18" spans="1:24" ht="15" thickBot="1">
      <c r="A18" s="7"/>
      <c r="B18" s="8" t="s">
        <v>6</v>
      </c>
      <c r="C18" s="9" t="s">
        <v>7</v>
      </c>
      <c r="D18" s="9" t="s">
        <v>8</v>
      </c>
      <c r="E18" s="9" t="s">
        <v>9</v>
      </c>
      <c r="F18" s="10" t="s">
        <v>10</v>
      </c>
      <c r="H18" s="46" t="s">
        <v>7</v>
      </c>
      <c r="I18" s="46" t="s">
        <v>8</v>
      </c>
      <c r="J18" s="46" t="s">
        <v>9</v>
      </c>
      <c r="K18" s="47" t="s">
        <v>10</v>
      </c>
      <c r="L18" s="19"/>
      <c r="M18" s="7"/>
      <c r="N18" s="10" t="s">
        <v>10</v>
      </c>
      <c r="O18" s="65" t="s">
        <v>55</v>
      </c>
      <c r="P18" s="65" t="s">
        <v>56</v>
      </c>
      <c r="Q18" s="65" t="s">
        <v>57</v>
      </c>
      <c r="R18" s="65" t="s">
        <v>58</v>
      </c>
      <c r="S18" s="65" t="s">
        <v>59</v>
      </c>
      <c r="T18" s="65" t="s">
        <v>60</v>
      </c>
      <c r="U18" s="65" t="s">
        <v>61</v>
      </c>
      <c r="V18" s="65" t="s">
        <v>62</v>
      </c>
      <c r="W18" s="65" t="s">
        <v>63</v>
      </c>
      <c r="X18" s="65" t="s">
        <v>64</v>
      </c>
    </row>
    <row r="19" spans="1:24">
      <c r="A19" s="1" t="s">
        <v>11</v>
      </c>
      <c r="B19" s="26">
        <v>40000</v>
      </c>
      <c r="C19" s="27">
        <v>40250</v>
      </c>
      <c r="D19" s="27">
        <v>41350</v>
      </c>
      <c r="E19" s="27">
        <v>42350</v>
      </c>
      <c r="F19" s="28">
        <v>42400</v>
      </c>
      <c r="G19" s="43" t="s">
        <v>49</v>
      </c>
      <c r="H19" s="48">
        <f>(C19/B19)-1</f>
        <v>6.2500000000000888E-3</v>
      </c>
      <c r="I19" s="48">
        <f t="shared" ref="I19" si="20">(D19/C19)-1</f>
        <v>2.7329192546583947E-2</v>
      </c>
      <c r="J19" s="48">
        <f t="shared" ref="J19" si="21">(E19/D19)-1</f>
        <v>2.4183796856106499E-2</v>
      </c>
      <c r="K19" s="49">
        <f t="shared" ref="K19" si="22">(F19/E19)-1</f>
        <v>1.1806375442739991E-3</v>
      </c>
      <c r="L19" s="20">
        <f t="shared" ref="L19:L20" si="23">AVERAGE(H19:K19)</f>
        <v>1.4735906736741133E-2</v>
      </c>
      <c r="M19" s="60" t="s">
        <v>11</v>
      </c>
      <c r="N19" s="71">
        <v>42400</v>
      </c>
    </row>
    <row r="20" spans="1:24">
      <c r="A20" s="2" t="s">
        <v>13</v>
      </c>
      <c r="B20" s="77">
        <v>-18500</v>
      </c>
      <c r="C20" s="2">
        <v>-18750</v>
      </c>
      <c r="D20" s="2">
        <v>-19000</v>
      </c>
      <c r="E20" s="2">
        <v>-19100</v>
      </c>
      <c r="F20" s="78">
        <v>-19250</v>
      </c>
      <c r="G20" s="44" t="s">
        <v>52</v>
      </c>
      <c r="H20" s="58">
        <f>-C20/C$19</f>
        <v>0.46583850931677018</v>
      </c>
      <c r="I20" s="58">
        <f t="shared" ref="I20:K20" si="24">-D20/D$19</f>
        <v>0.45949214026602175</v>
      </c>
      <c r="J20" s="58">
        <f t="shared" si="24"/>
        <v>0.45100354191263281</v>
      </c>
      <c r="K20" s="59">
        <f t="shared" si="24"/>
        <v>0.45400943396226418</v>
      </c>
      <c r="L20" s="20">
        <f t="shared" si="23"/>
        <v>0.45758590636442226</v>
      </c>
      <c r="M20" s="61" t="s">
        <v>13</v>
      </c>
      <c r="N20" s="68">
        <v>-19250</v>
      </c>
      <c r="O20" s="23"/>
      <c r="P20" s="2"/>
      <c r="Q20" s="2"/>
      <c r="R20" s="2"/>
      <c r="S20" s="2"/>
      <c r="T20" s="2"/>
      <c r="U20" s="2"/>
      <c r="V20" s="2"/>
      <c r="W20" s="2"/>
      <c r="X20" s="2"/>
    </row>
    <row r="21" spans="1:24">
      <c r="A21" s="3" t="s">
        <v>12</v>
      </c>
      <c r="B21" s="31">
        <f>SUM(B19:B20)</f>
        <v>21500</v>
      </c>
      <c r="C21" s="32">
        <f>SUM(C19:C20)</f>
        <v>21500</v>
      </c>
      <c r="D21" s="32">
        <f t="shared" ref="D21:F21" si="25">SUM(D19:D20)</f>
        <v>22350</v>
      </c>
      <c r="E21" s="32">
        <f t="shared" si="25"/>
        <v>23250</v>
      </c>
      <c r="F21" s="33">
        <f t="shared" si="25"/>
        <v>23150</v>
      </c>
      <c r="G21" s="44"/>
      <c r="H21" s="50"/>
      <c r="I21" s="50"/>
      <c r="J21" s="50"/>
      <c r="K21" s="51"/>
      <c r="L21" s="19"/>
      <c r="M21" s="62" t="s">
        <v>12</v>
      </c>
      <c r="N21" s="72">
        <v>23150</v>
      </c>
      <c r="O21" s="3">
        <f>SUM(O19:O20)</f>
        <v>0</v>
      </c>
      <c r="P21" s="3">
        <f t="shared" ref="P21:X21" si="26">SUM(P19:P20)</f>
        <v>0</v>
      </c>
      <c r="Q21" s="3">
        <f t="shared" si="26"/>
        <v>0</v>
      </c>
      <c r="R21" s="3">
        <f t="shared" si="26"/>
        <v>0</v>
      </c>
      <c r="S21" s="3">
        <f t="shared" si="26"/>
        <v>0</v>
      </c>
      <c r="T21" s="3">
        <f t="shared" si="26"/>
        <v>0</v>
      </c>
      <c r="U21" s="3">
        <f t="shared" si="26"/>
        <v>0</v>
      </c>
      <c r="V21" s="3">
        <f t="shared" si="26"/>
        <v>0</v>
      </c>
      <c r="W21" s="3">
        <f t="shared" si="26"/>
        <v>0</v>
      </c>
      <c r="X21" s="3">
        <f t="shared" si="26"/>
        <v>0</v>
      </c>
    </row>
    <row r="22" spans="1:24">
      <c r="A22" s="1" t="s">
        <v>14</v>
      </c>
      <c r="B22" s="29">
        <v>-5500</v>
      </c>
      <c r="C22" s="13">
        <v>-5650</v>
      </c>
      <c r="D22" s="13">
        <v>-5675</v>
      </c>
      <c r="E22" s="13">
        <v>-5700</v>
      </c>
      <c r="F22" s="30">
        <v>-5710</v>
      </c>
      <c r="G22" s="44" t="s">
        <v>52</v>
      </c>
      <c r="H22" s="58">
        <f>-C22/C$19</f>
        <v>0.14037267080745341</v>
      </c>
      <c r="I22" s="58">
        <f t="shared" ref="I22" si="27">-D22/D$19</f>
        <v>0.13724304715840388</v>
      </c>
      <c r="J22" s="58">
        <f t="shared" ref="J22" si="28">-E22/E$19</f>
        <v>0.13459268004722549</v>
      </c>
      <c r="K22" s="59">
        <f t="shared" ref="K22" si="29">-F22/F$19</f>
        <v>0.13466981132075473</v>
      </c>
      <c r="L22" s="20">
        <f>AVERAGE(H22:K22)</f>
        <v>0.13671955233345937</v>
      </c>
      <c r="M22" s="60" t="s">
        <v>14</v>
      </c>
      <c r="N22" s="73">
        <v>-5710</v>
      </c>
    </row>
    <row r="23" spans="1:24">
      <c r="A23" s="4" t="s">
        <v>15</v>
      </c>
      <c r="B23" s="29">
        <v>-5000</v>
      </c>
      <c r="C23" s="13">
        <v>-5000</v>
      </c>
      <c r="D23" s="13">
        <v>-5000</v>
      </c>
      <c r="E23" s="13">
        <v>-5000</v>
      </c>
      <c r="F23" s="30">
        <v>-5000</v>
      </c>
      <c r="G23" s="44"/>
      <c r="H23" s="50"/>
      <c r="I23" s="50"/>
      <c r="J23" s="50"/>
      <c r="K23" s="51"/>
      <c r="L23" s="19"/>
      <c r="M23" s="63" t="s">
        <v>15</v>
      </c>
      <c r="N23" s="73">
        <v>-5000</v>
      </c>
    </row>
    <row r="24" spans="1:24">
      <c r="A24" s="2" t="s">
        <v>16</v>
      </c>
      <c r="B24" s="77">
        <v>-500</v>
      </c>
      <c r="C24" s="2">
        <v>-500</v>
      </c>
      <c r="D24" s="2">
        <v>-500</v>
      </c>
      <c r="E24" s="2">
        <v>-500</v>
      </c>
      <c r="F24" s="78">
        <v>-500</v>
      </c>
      <c r="G24" s="44"/>
      <c r="H24" s="50"/>
      <c r="I24" s="50"/>
      <c r="J24" s="50"/>
      <c r="K24" s="51"/>
      <c r="L24" s="19"/>
      <c r="M24" s="61" t="s">
        <v>16</v>
      </c>
      <c r="N24" s="68">
        <v>-500</v>
      </c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>
      <c r="A25" s="3" t="s">
        <v>17</v>
      </c>
      <c r="B25" s="31">
        <f>SUM(B21:B24)</f>
        <v>10500</v>
      </c>
      <c r="C25" s="32">
        <f>SUM(C21:C24)</f>
        <v>10350</v>
      </c>
      <c r="D25" s="32">
        <f t="shared" ref="D25:F25" si="30">SUM(D21:D24)</f>
        <v>11175</v>
      </c>
      <c r="E25" s="32">
        <f t="shared" si="30"/>
        <v>12050</v>
      </c>
      <c r="F25" s="33">
        <f t="shared" si="30"/>
        <v>11940</v>
      </c>
      <c r="G25" s="44"/>
      <c r="H25" s="50"/>
      <c r="I25" s="50"/>
      <c r="J25" s="50"/>
      <c r="K25" s="51"/>
      <c r="L25" s="19"/>
      <c r="M25" s="62" t="s">
        <v>17</v>
      </c>
      <c r="N25" s="72">
        <v>11940</v>
      </c>
      <c r="O25" s="3">
        <f>SUM(O21:O24)</f>
        <v>0</v>
      </c>
      <c r="P25" s="3">
        <f t="shared" ref="P25:X25" si="31">SUM(P21:P24)</f>
        <v>0</v>
      </c>
      <c r="Q25" s="3">
        <f t="shared" si="31"/>
        <v>0</v>
      </c>
      <c r="R25" s="3">
        <f t="shared" si="31"/>
        <v>0</v>
      </c>
      <c r="S25" s="3">
        <f t="shared" si="31"/>
        <v>0</v>
      </c>
      <c r="T25" s="3">
        <f t="shared" si="31"/>
        <v>0</v>
      </c>
      <c r="U25" s="3">
        <f t="shared" si="31"/>
        <v>0</v>
      </c>
      <c r="V25" s="3">
        <f t="shared" si="31"/>
        <v>0</v>
      </c>
      <c r="W25" s="3">
        <f t="shared" si="31"/>
        <v>0</v>
      </c>
      <c r="X25" s="3">
        <f t="shared" si="31"/>
        <v>0</v>
      </c>
    </row>
    <row r="26" spans="1:24">
      <c r="A26" s="1" t="s">
        <v>18</v>
      </c>
      <c r="B26" s="29">
        <v>-200</v>
      </c>
      <c r="C26" s="13">
        <v>-205</v>
      </c>
      <c r="D26" s="13">
        <v>-195</v>
      </c>
      <c r="E26" s="13">
        <v>-190</v>
      </c>
      <c r="F26" s="30">
        <v>-180</v>
      </c>
      <c r="G26" s="44" t="s">
        <v>49</v>
      </c>
      <c r="H26" s="52">
        <f>(C26/B26)-1</f>
        <v>2.4999999999999911E-2</v>
      </c>
      <c r="I26" s="52">
        <f t="shared" ref="I26" si="32">(D26/C26)-1</f>
        <v>-4.8780487804878092E-2</v>
      </c>
      <c r="J26" s="52">
        <f t="shared" ref="J26" si="33">(E26/D26)-1</f>
        <v>-2.5641025641025661E-2</v>
      </c>
      <c r="K26" s="53">
        <f t="shared" ref="K26" si="34">(F26/E26)-1</f>
        <v>-5.2631578947368474E-2</v>
      </c>
      <c r="L26" s="20">
        <f>AVERAGE(H26:K26)</f>
        <v>-2.5513273098318079E-2</v>
      </c>
      <c r="M26" s="60" t="s">
        <v>18</v>
      </c>
      <c r="N26" s="73">
        <v>-180</v>
      </c>
    </row>
    <row r="27" spans="1:24">
      <c r="A27" s="1" t="s">
        <v>19</v>
      </c>
      <c r="B27" s="29">
        <v>-550</v>
      </c>
      <c r="C27" s="13">
        <v>-550</v>
      </c>
      <c r="D27" s="13">
        <v>-550</v>
      </c>
      <c r="E27" s="13">
        <v>-550</v>
      </c>
      <c r="F27" s="30">
        <v>-550</v>
      </c>
      <c r="G27" s="44"/>
      <c r="H27" s="50"/>
      <c r="I27" s="50"/>
      <c r="J27" s="50"/>
      <c r="K27" s="51"/>
      <c r="L27" s="19"/>
      <c r="M27" s="60" t="s">
        <v>19</v>
      </c>
      <c r="N27" s="73">
        <v>-550</v>
      </c>
    </row>
    <row r="28" spans="1:24">
      <c r="A28" s="1" t="s">
        <v>20</v>
      </c>
      <c r="B28" s="29">
        <v>-450</v>
      </c>
      <c r="C28" s="13">
        <v>-450</v>
      </c>
      <c r="D28" s="13">
        <v>-455</v>
      </c>
      <c r="E28" s="13">
        <v>-458</v>
      </c>
      <c r="F28" s="30">
        <v>-458</v>
      </c>
      <c r="G28" s="44" t="s">
        <v>52</v>
      </c>
      <c r="H28" s="58">
        <f>-C28/C$19</f>
        <v>1.1180124223602485E-2</v>
      </c>
      <c r="I28" s="58">
        <f t="shared" ref="I28:I29" si="35">-D28/D$19</f>
        <v>1.1003627569528416E-2</v>
      </c>
      <c r="J28" s="58">
        <f t="shared" ref="J28:J29" si="36">-E28/E$19</f>
        <v>1.0814639905548996E-2</v>
      </c>
      <c r="K28" s="59">
        <f t="shared" ref="K28:K29" si="37">-F28/F$19</f>
        <v>1.0801886792452831E-2</v>
      </c>
      <c r="L28" s="20">
        <f t="shared" ref="L28:L29" si="38">AVERAGE(H28:K28)</f>
        <v>1.0950069622783182E-2</v>
      </c>
      <c r="M28" s="60" t="s">
        <v>20</v>
      </c>
      <c r="N28" s="73">
        <v>-458</v>
      </c>
    </row>
    <row r="29" spans="1:24">
      <c r="A29" s="2" t="s">
        <v>21</v>
      </c>
      <c r="B29" s="77">
        <v>-150</v>
      </c>
      <c r="C29" s="2">
        <v>235</v>
      </c>
      <c r="D29" s="2">
        <v>-241</v>
      </c>
      <c r="E29" s="2">
        <v>-180</v>
      </c>
      <c r="F29" s="78">
        <v>-170</v>
      </c>
      <c r="G29" s="44" t="s">
        <v>52</v>
      </c>
      <c r="H29" s="58">
        <f>-C29/C$19</f>
        <v>-5.838509316770186E-3</v>
      </c>
      <c r="I29" s="58">
        <f t="shared" si="35"/>
        <v>5.8282950423216443E-3</v>
      </c>
      <c r="J29" s="58">
        <f t="shared" si="36"/>
        <v>4.2502951593860689E-3</v>
      </c>
      <c r="K29" s="59">
        <f t="shared" si="37"/>
        <v>4.0094339622641509E-3</v>
      </c>
      <c r="L29" s="20">
        <f t="shared" si="38"/>
        <v>2.0623787118004195E-3</v>
      </c>
      <c r="M29" s="61" t="s">
        <v>21</v>
      </c>
      <c r="N29" s="68">
        <v>-170</v>
      </c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>
      <c r="A30" s="3" t="s">
        <v>22</v>
      </c>
      <c r="B30" s="31">
        <f>SUM(B25:B29)</f>
        <v>9150</v>
      </c>
      <c r="C30" s="32">
        <f t="shared" ref="C30:F30" si="39">SUM(C25:C29)</f>
        <v>9380</v>
      </c>
      <c r="D30" s="32">
        <f t="shared" si="39"/>
        <v>9734</v>
      </c>
      <c r="E30" s="32">
        <f t="shared" si="39"/>
        <v>10672</v>
      </c>
      <c r="F30" s="33">
        <f t="shared" si="39"/>
        <v>10582</v>
      </c>
      <c r="G30" s="44"/>
      <c r="H30" s="50"/>
      <c r="I30" s="50"/>
      <c r="J30" s="50"/>
      <c r="K30" s="51"/>
      <c r="L30" s="19"/>
      <c r="M30" s="62" t="s">
        <v>22</v>
      </c>
      <c r="N30" s="72">
        <v>10582</v>
      </c>
      <c r="O30" s="3">
        <f t="shared" ref="O30" si="40">SUM(O25:O29)</f>
        <v>0</v>
      </c>
      <c r="P30" s="3">
        <f t="shared" ref="P30" si="41">SUM(P25:P29)</f>
        <v>0</v>
      </c>
      <c r="Q30" s="3">
        <f t="shared" ref="Q30" si="42">SUM(Q25:Q29)</f>
        <v>0</v>
      </c>
      <c r="R30" s="3">
        <f t="shared" ref="R30" si="43">SUM(R25:R29)</f>
        <v>0</v>
      </c>
      <c r="S30" s="3">
        <f t="shared" ref="S30" si="44">SUM(S25:S29)</f>
        <v>0</v>
      </c>
      <c r="T30" s="3">
        <f t="shared" ref="T30" si="45">SUM(T25:T29)</f>
        <v>0</v>
      </c>
      <c r="U30" s="3">
        <f t="shared" ref="U30" si="46">SUM(U25:U29)</f>
        <v>0</v>
      </c>
      <c r="V30" s="3">
        <f t="shared" ref="V30" si="47">SUM(V25:V29)</f>
        <v>0</v>
      </c>
      <c r="W30" s="3">
        <f t="shared" ref="W30" si="48">SUM(W25:W29)</f>
        <v>0</v>
      </c>
      <c r="X30" s="3">
        <f t="shared" ref="X30" si="49">SUM(X25:X29)</f>
        <v>0</v>
      </c>
    </row>
    <row r="31" spans="1:24" ht="15" thickBot="1">
      <c r="A31" s="1" t="s">
        <v>23</v>
      </c>
      <c r="B31" s="77">
        <v>-2050</v>
      </c>
      <c r="C31" s="2">
        <v>-2050</v>
      </c>
      <c r="D31" s="2">
        <v>-2050</v>
      </c>
      <c r="E31" s="2">
        <v>-2050</v>
      </c>
      <c r="F31" s="78">
        <v>-2050</v>
      </c>
      <c r="G31" s="44" t="s">
        <v>53</v>
      </c>
      <c r="H31" s="52">
        <f>-B31/B30</f>
        <v>0.22404371584699453</v>
      </c>
      <c r="I31" s="52">
        <f t="shared" ref="I31:K31" si="50">-C31/C30</f>
        <v>0.21855010660980811</v>
      </c>
      <c r="J31" s="52">
        <f t="shared" si="50"/>
        <v>0.21060201356071501</v>
      </c>
      <c r="K31" s="53">
        <f t="shared" si="50"/>
        <v>0.19209145427286356</v>
      </c>
      <c r="L31" s="20">
        <f>AVERAGE(H31:K31)</f>
        <v>0.2113218225725953</v>
      </c>
      <c r="M31" s="60" t="s">
        <v>23</v>
      </c>
      <c r="N31" s="68">
        <v>-2050</v>
      </c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" thickBot="1">
      <c r="A32" s="5" t="s">
        <v>24</v>
      </c>
      <c r="B32" s="29">
        <f>SUM(B30:B31)</f>
        <v>7100</v>
      </c>
      <c r="C32" s="13">
        <f t="shared" ref="C32:F32" si="51">SUM(C30:C31)</f>
        <v>7330</v>
      </c>
      <c r="D32" s="13">
        <f t="shared" si="51"/>
        <v>7684</v>
      </c>
      <c r="E32" s="13">
        <f t="shared" si="51"/>
        <v>8622</v>
      </c>
      <c r="F32" s="30">
        <f t="shared" si="51"/>
        <v>8532</v>
      </c>
      <c r="G32" s="44"/>
      <c r="H32" s="50"/>
      <c r="I32" s="50"/>
      <c r="J32" s="50"/>
      <c r="K32" s="51"/>
      <c r="L32" s="19"/>
      <c r="M32" s="6" t="s">
        <v>24</v>
      </c>
      <c r="N32" s="73">
        <v>8532</v>
      </c>
      <c r="O32" s="3">
        <f t="shared" ref="O32" si="52">SUM(O30:O31)</f>
        <v>0</v>
      </c>
      <c r="P32" s="3">
        <f t="shared" ref="P32" si="53">SUM(P30:P31)</f>
        <v>0</v>
      </c>
      <c r="Q32" s="3">
        <f t="shared" ref="Q32" si="54">SUM(Q30:Q31)</f>
        <v>0</v>
      </c>
      <c r="R32" s="3">
        <f t="shared" ref="R32" si="55">SUM(R30:R31)</f>
        <v>0</v>
      </c>
      <c r="S32" s="3">
        <f t="shared" ref="S32" si="56">SUM(S30:S31)</f>
        <v>0</v>
      </c>
      <c r="T32" s="3">
        <f t="shared" ref="T32" si="57">SUM(T30:T31)</f>
        <v>0</v>
      </c>
      <c r="U32" s="3">
        <f t="shared" ref="U32" si="58">SUM(U30:U31)</f>
        <v>0</v>
      </c>
      <c r="V32" s="3">
        <f t="shared" ref="V32" si="59">SUM(V30:V31)</f>
        <v>0</v>
      </c>
      <c r="W32" s="3">
        <f t="shared" ref="W32" si="60">SUM(W30:W31)</f>
        <v>0</v>
      </c>
      <c r="X32" s="3">
        <f t="shared" ref="X32" si="61">SUM(X30:X31)</f>
        <v>0</v>
      </c>
    </row>
    <row r="33" spans="1:24">
      <c r="A33" s="1" t="s">
        <v>25</v>
      </c>
      <c r="B33" s="29">
        <f>-75%*B32</f>
        <v>-5325</v>
      </c>
      <c r="C33" s="13">
        <f t="shared" ref="C33:F33" si="62">-75%*C32</f>
        <v>-5497.5</v>
      </c>
      <c r="D33" s="13">
        <f t="shared" si="62"/>
        <v>-5763</v>
      </c>
      <c r="E33" s="13">
        <f t="shared" si="62"/>
        <v>-6466.5</v>
      </c>
      <c r="F33" s="30">
        <f t="shared" si="62"/>
        <v>-6399</v>
      </c>
      <c r="G33" s="44" t="s">
        <v>54</v>
      </c>
      <c r="H33" s="52">
        <f>-C33/C32</f>
        <v>0.75</v>
      </c>
      <c r="I33" s="52">
        <f t="shared" ref="I33:K33" si="63">-D33/D32</f>
        <v>0.75</v>
      </c>
      <c r="J33" s="52">
        <f t="shared" si="63"/>
        <v>0.75</v>
      </c>
      <c r="K33" s="53">
        <f t="shared" si="63"/>
        <v>0.75</v>
      </c>
      <c r="L33" s="20">
        <f>AVERAGE(H33:K33)</f>
        <v>0.75</v>
      </c>
      <c r="M33" s="60" t="s">
        <v>25</v>
      </c>
      <c r="N33" s="73">
        <v>-6399</v>
      </c>
    </row>
    <row r="34" spans="1:24" ht="15" thickBot="1">
      <c r="A34" s="1" t="s">
        <v>47</v>
      </c>
      <c r="B34" s="39"/>
      <c r="C34" s="40">
        <f>-C20+C6-B6</f>
        <v>18775</v>
      </c>
      <c r="D34" s="40">
        <f t="shared" ref="D34:F34" si="64">-D20+D6-C6</f>
        <v>19025</v>
      </c>
      <c r="E34" s="40">
        <f t="shared" si="64"/>
        <v>19125</v>
      </c>
      <c r="F34" s="41">
        <f t="shared" si="64"/>
        <v>19275</v>
      </c>
      <c r="G34" s="45"/>
      <c r="H34" s="56"/>
      <c r="I34" s="56"/>
      <c r="J34" s="56"/>
      <c r="K34" s="57"/>
      <c r="L34" s="22"/>
      <c r="M34" s="60" t="s">
        <v>47</v>
      </c>
      <c r="N34" s="74">
        <v>19275</v>
      </c>
    </row>
    <row r="35" spans="1:24" ht="15" thickBot="1">
      <c r="B35" s="8" t="s">
        <v>6</v>
      </c>
      <c r="C35" s="9" t="s">
        <v>7</v>
      </c>
      <c r="D35" s="9" t="s">
        <v>8</v>
      </c>
      <c r="E35" s="9" t="s">
        <v>9</v>
      </c>
      <c r="F35" s="10" t="s">
        <v>10</v>
      </c>
      <c r="L35" s="1"/>
      <c r="N35" s="10" t="s">
        <v>10</v>
      </c>
      <c r="O35" s="65" t="s">
        <v>55</v>
      </c>
      <c r="P35" s="65" t="s">
        <v>56</v>
      </c>
      <c r="Q35" s="65" t="s">
        <v>57</v>
      </c>
      <c r="R35" s="65" t="s">
        <v>58</v>
      </c>
      <c r="S35" s="65" t="s">
        <v>59</v>
      </c>
      <c r="T35" s="65" t="s">
        <v>60</v>
      </c>
      <c r="U35" s="65" t="s">
        <v>61</v>
      </c>
      <c r="V35" s="65" t="s">
        <v>62</v>
      </c>
      <c r="W35" s="65" t="s">
        <v>63</v>
      </c>
      <c r="X35" s="65" t="s">
        <v>64</v>
      </c>
    </row>
    <row r="36" spans="1:24">
      <c r="A36" s="1" t="s">
        <v>34</v>
      </c>
      <c r="B36" s="26"/>
      <c r="C36" s="27">
        <f>C19-C7+B7</f>
        <v>40200</v>
      </c>
      <c r="D36" s="27">
        <f t="shared" ref="D36:F36" si="65">D19-D7+C7</f>
        <v>41340</v>
      </c>
      <c r="E36" s="27">
        <f t="shared" si="65"/>
        <v>42330</v>
      </c>
      <c r="F36" s="28">
        <f t="shared" si="65"/>
        <v>42380</v>
      </c>
      <c r="L36" s="1"/>
      <c r="M36" s="64" t="s">
        <v>34</v>
      </c>
      <c r="N36" s="71">
        <v>42380</v>
      </c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>
      <c r="A37" s="1" t="s">
        <v>35</v>
      </c>
      <c r="B37" s="29"/>
      <c r="C37" s="13">
        <f>-C34+C16-B16</f>
        <v>-18775</v>
      </c>
      <c r="D37" s="13">
        <f t="shared" ref="D37:F37" si="66">-D34+D16-C16</f>
        <v>-19010</v>
      </c>
      <c r="E37" s="13">
        <f t="shared" si="66"/>
        <v>-19110</v>
      </c>
      <c r="F37" s="30">
        <f t="shared" si="66"/>
        <v>-19270</v>
      </c>
      <c r="L37" s="1"/>
      <c r="M37" s="64" t="s">
        <v>35</v>
      </c>
      <c r="N37" s="73">
        <v>-19270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>
      <c r="A38" s="1" t="s">
        <v>36</v>
      </c>
      <c r="B38" s="29"/>
      <c r="C38" s="13">
        <f>C22</f>
        <v>-5650</v>
      </c>
      <c r="D38" s="13">
        <f t="shared" ref="D38:F38" si="67">D22</f>
        <v>-5675</v>
      </c>
      <c r="E38" s="13">
        <f t="shared" si="67"/>
        <v>-5700</v>
      </c>
      <c r="F38" s="30">
        <f t="shared" si="67"/>
        <v>-5710</v>
      </c>
      <c r="L38" s="1"/>
      <c r="M38" s="64" t="s">
        <v>36</v>
      </c>
      <c r="N38" s="73">
        <v>-5710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>
      <c r="A39" s="1" t="s">
        <v>37</v>
      </c>
      <c r="B39" s="29"/>
      <c r="C39" s="13">
        <f>C28</f>
        <v>-450</v>
      </c>
      <c r="D39" s="13">
        <f t="shared" ref="D39:F39" si="68">D28</f>
        <v>-455</v>
      </c>
      <c r="E39" s="13">
        <f t="shared" si="68"/>
        <v>-458</v>
      </c>
      <c r="F39" s="30">
        <f t="shared" si="68"/>
        <v>-458</v>
      </c>
      <c r="L39" s="1"/>
      <c r="M39" s="64" t="s">
        <v>37</v>
      </c>
      <c r="N39" s="73">
        <v>-458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>
      <c r="A40" s="1" t="s">
        <v>23</v>
      </c>
      <c r="B40" s="29"/>
      <c r="C40" s="13">
        <f>C31</f>
        <v>-2050</v>
      </c>
      <c r="D40" s="13">
        <f t="shared" ref="D40:F40" si="69">D31</f>
        <v>-2050</v>
      </c>
      <c r="E40" s="13">
        <f t="shared" si="69"/>
        <v>-2050</v>
      </c>
      <c r="F40" s="30">
        <f t="shared" si="69"/>
        <v>-2050</v>
      </c>
      <c r="L40" s="1"/>
      <c r="M40" s="64" t="s">
        <v>23</v>
      </c>
      <c r="N40" s="73">
        <v>-2050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>
      <c r="A41" s="79" t="s">
        <v>38</v>
      </c>
      <c r="B41" s="81"/>
      <c r="C41" s="11">
        <f>SUM(C36:C40)</f>
        <v>13275</v>
      </c>
      <c r="D41" s="11">
        <f t="shared" ref="D41:F41" si="70">SUM(D36:D40)</f>
        <v>14150</v>
      </c>
      <c r="E41" s="11">
        <f t="shared" si="70"/>
        <v>15012</v>
      </c>
      <c r="F41" s="42">
        <f t="shared" si="70"/>
        <v>14892</v>
      </c>
      <c r="L41" s="1"/>
      <c r="M41" s="64" t="s">
        <v>38</v>
      </c>
      <c r="N41" s="75">
        <v>14892</v>
      </c>
      <c r="O41" s="11">
        <f>SUM(O36:O40)</f>
        <v>0</v>
      </c>
      <c r="P41" s="11">
        <f t="shared" ref="P41:X41" si="71">SUM(P36:P40)</f>
        <v>0</v>
      </c>
      <c r="Q41" s="11">
        <f t="shared" si="71"/>
        <v>0</v>
      </c>
      <c r="R41" s="11">
        <f t="shared" si="71"/>
        <v>0</v>
      </c>
      <c r="S41" s="11">
        <f t="shared" si="71"/>
        <v>0</v>
      </c>
      <c r="T41" s="11">
        <f t="shared" si="71"/>
        <v>0</v>
      </c>
      <c r="U41" s="11">
        <f t="shared" si="71"/>
        <v>0</v>
      </c>
      <c r="V41" s="11">
        <f t="shared" si="71"/>
        <v>0</v>
      </c>
      <c r="W41" s="11">
        <f t="shared" si="71"/>
        <v>0</v>
      </c>
      <c r="X41" s="11">
        <f t="shared" si="71"/>
        <v>0</v>
      </c>
    </row>
    <row r="42" spans="1:24">
      <c r="A42" s="1" t="s">
        <v>39</v>
      </c>
      <c r="B42" s="29"/>
      <c r="C42" s="13">
        <f>C29</f>
        <v>235</v>
      </c>
      <c r="D42" s="13">
        <f t="shared" ref="D42:F42" si="72">D29</f>
        <v>-241</v>
      </c>
      <c r="E42" s="13">
        <f t="shared" si="72"/>
        <v>-180</v>
      </c>
      <c r="F42" s="30">
        <f t="shared" si="72"/>
        <v>-170</v>
      </c>
      <c r="L42" s="1"/>
      <c r="M42" s="64" t="s">
        <v>39</v>
      </c>
      <c r="N42" s="73">
        <v>-170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>
      <c r="A43" s="1" t="s">
        <v>40</v>
      </c>
      <c r="B43" s="29"/>
      <c r="C43" s="13">
        <f>SUM(C13:C14)-SUM(B13:B14)</f>
        <v>-1200</v>
      </c>
      <c r="D43" s="13">
        <f t="shared" ref="D43:F43" si="73">SUM(D13:D14)-SUM(C13:C14)</f>
        <v>-1200</v>
      </c>
      <c r="E43" s="13">
        <f t="shared" si="73"/>
        <v>-1200</v>
      </c>
      <c r="F43" s="30">
        <f t="shared" si="73"/>
        <v>-1200</v>
      </c>
      <c r="L43" s="1"/>
      <c r="M43" s="64" t="s">
        <v>40</v>
      </c>
      <c r="N43" s="73">
        <v>-1200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>
      <c r="A44" s="1" t="s">
        <v>25</v>
      </c>
      <c r="B44" s="29"/>
      <c r="C44" s="13">
        <f>C33</f>
        <v>-5497.5</v>
      </c>
      <c r="D44" s="13">
        <f t="shared" ref="D44:F44" si="74">D33</f>
        <v>-5763</v>
      </c>
      <c r="E44" s="13">
        <f t="shared" si="74"/>
        <v>-6466.5</v>
      </c>
      <c r="F44" s="30">
        <f t="shared" si="74"/>
        <v>-6399</v>
      </c>
      <c r="L44" s="1"/>
      <c r="M44" s="64" t="s">
        <v>25</v>
      </c>
      <c r="N44" s="73">
        <v>-6399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>
      <c r="A45" s="79" t="s">
        <v>41</v>
      </c>
      <c r="B45" s="81"/>
      <c r="C45" s="11">
        <f>SUM(C42:C44)</f>
        <v>-6462.5</v>
      </c>
      <c r="D45" s="11">
        <f t="shared" ref="D45:F45" si="75">SUM(D42:D44)</f>
        <v>-7204</v>
      </c>
      <c r="E45" s="11">
        <f t="shared" si="75"/>
        <v>-7846.5</v>
      </c>
      <c r="F45" s="42">
        <f t="shared" si="75"/>
        <v>-7769</v>
      </c>
      <c r="L45" s="1"/>
      <c r="M45" s="64" t="s">
        <v>41</v>
      </c>
      <c r="N45" s="75">
        <v>-7769</v>
      </c>
      <c r="O45" s="11">
        <f>SUM(O42:O44)</f>
        <v>0</v>
      </c>
      <c r="P45" s="11">
        <f t="shared" ref="P45:X45" si="76">SUM(P42:P44)</f>
        <v>0</v>
      </c>
      <c r="Q45" s="11">
        <f t="shared" si="76"/>
        <v>0</v>
      </c>
      <c r="R45" s="11">
        <f t="shared" si="76"/>
        <v>0</v>
      </c>
      <c r="S45" s="11">
        <f t="shared" si="76"/>
        <v>0</v>
      </c>
      <c r="T45" s="11">
        <f t="shared" si="76"/>
        <v>0</v>
      </c>
      <c r="U45" s="11">
        <f t="shared" si="76"/>
        <v>0</v>
      </c>
      <c r="V45" s="11">
        <f t="shared" si="76"/>
        <v>0</v>
      </c>
      <c r="W45" s="11">
        <f t="shared" si="76"/>
        <v>0</v>
      </c>
      <c r="X45" s="11">
        <f t="shared" si="76"/>
        <v>0</v>
      </c>
    </row>
    <row r="46" spans="1:24">
      <c r="A46" s="1" t="s">
        <v>42</v>
      </c>
      <c r="B46" s="29"/>
      <c r="C46" s="13">
        <f>B2+C23-C2</f>
        <v>-6500</v>
      </c>
      <c r="D46" s="13">
        <f t="shared" ref="D46:F46" si="77">C2+D23-D2</f>
        <v>-6500</v>
      </c>
      <c r="E46" s="13">
        <f t="shared" si="77"/>
        <v>-6500</v>
      </c>
      <c r="F46" s="30">
        <f t="shared" si="77"/>
        <v>-6500</v>
      </c>
      <c r="L46" s="1"/>
      <c r="M46" s="64" t="s">
        <v>42</v>
      </c>
      <c r="N46" s="73">
        <v>-6500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>
      <c r="A47" s="1" t="s">
        <v>43</v>
      </c>
      <c r="B47" s="29"/>
      <c r="C47" s="13">
        <f>B4+C24-C4</f>
        <v>-600</v>
      </c>
      <c r="D47" s="13">
        <f t="shared" ref="D47:F47" si="78">C4+D24-D4</f>
        <v>-600</v>
      </c>
      <c r="E47" s="13">
        <f t="shared" si="78"/>
        <v>-600</v>
      </c>
      <c r="F47" s="30">
        <f t="shared" si="78"/>
        <v>-600</v>
      </c>
      <c r="L47" s="1"/>
      <c r="M47" s="64" t="s">
        <v>43</v>
      </c>
      <c r="N47" s="73">
        <v>-600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>
      <c r="A48" s="1" t="s">
        <v>48</v>
      </c>
      <c r="B48" s="29"/>
      <c r="C48" s="13">
        <f>C15-B15</f>
        <v>-10</v>
      </c>
      <c r="D48" s="13">
        <f t="shared" ref="D48:F48" si="79">D15-C15</f>
        <v>-10</v>
      </c>
      <c r="E48" s="13">
        <f t="shared" si="79"/>
        <v>0</v>
      </c>
      <c r="F48" s="30">
        <f t="shared" si="79"/>
        <v>-5</v>
      </c>
      <c r="L48" s="1"/>
      <c r="M48" s="64" t="s">
        <v>48</v>
      </c>
      <c r="N48" s="73">
        <v>-5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>
      <c r="A49" s="1" t="s">
        <v>44</v>
      </c>
      <c r="B49" s="29"/>
      <c r="C49" s="13">
        <f>B5-C5</f>
        <v>-20</v>
      </c>
      <c r="D49" s="13">
        <f t="shared" ref="D49:F49" si="80">C5-D5</f>
        <v>-20</v>
      </c>
      <c r="E49" s="13">
        <f t="shared" si="80"/>
        <v>-20</v>
      </c>
      <c r="F49" s="30">
        <f t="shared" si="80"/>
        <v>-20</v>
      </c>
      <c r="L49" s="1"/>
      <c r="M49" s="64" t="s">
        <v>44</v>
      </c>
      <c r="N49" s="73">
        <v>-20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>
      <c r="A50" s="79" t="s">
        <v>45</v>
      </c>
      <c r="B50" s="81"/>
      <c r="C50" s="11">
        <f>SUM(C46:C49)</f>
        <v>-7130</v>
      </c>
      <c r="D50" s="11">
        <f t="shared" ref="D50:F50" si="81">SUM(D46:D49)</f>
        <v>-7130</v>
      </c>
      <c r="E50" s="11">
        <f t="shared" si="81"/>
        <v>-7120</v>
      </c>
      <c r="F50" s="42">
        <f t="shared" si="81"/>
        <v>-7125</v>
      </c>
      <c r="L50" s="1"/>
      <c r="M50" s="64" t="s">
        <v>45</v>
      </c>
      <c r="N50" s="75">
        <v>-7125</v>
      </c>
      <c r="O50" s="11">
        <f>SUM(O46:O49)</f>
        <v>0</v>
      </c>
      <c r="P50" s="11">
        <f t="shared" ref="P50:X50" si="82">SUM(P46:P49)</f>
        <v>0</v>
      </c>
      <c r="Q50" s="11">
        <f t="shared" si="82"/>
        <v>0</v>
      </c>
      <c r="R50" s="11">
        <f t="shared" si="82"/>
        <v>0</v>
      </c>
      <c r="S50" s="11">
        <f t="shared" si="82"/>
        <v>0</v>
      </c>
      <c r="T50" s="11">
        <f t="shared" si="82"/>
        <v>0</v>
      </c>
      <c r="U50" s="11">
        <f t="shared" si="82"/>
        <v>0</v>
      </c>
      <c r="V50" s="11">
        <f t="shared" si="82"/>
        <v>0</v>
      </c>
      <c r="W50" s="11">
        <f t="shared" si="82"/>
        <v>0</v>
      </c>
      <c r="X50" s="11">
        <f t="shared" si="82"/>
        <v>0</v>
      </c>
    </row>
    <row r="51" spans="1:24" ht="15" thickBot="1">
      <c r="A51" s="80" t="s">
        <v>46</v>
      </c>
      <c r="B51" s="39"/>
      <c r="C51" s="35">
        <f>SUM(C50,C45,C41)</f>
        <v>-317.5</v>
      </c>
      <c r="D51" s="35">
        <f t="shared" ref="D51:F51" si="83">SUM(D50,D45,D41)</f>
        <v>-184</v>
      </c>
      <c r="E51" s="35">
        <f t="shared" si="83"/>
        <v>45.5</v>
      </c>
      <c r="F51" s="36">
        <f t="shared" si="83"/>
        <v>-2</v>
      </c>
      <c r="L51" s="1"/>
      <c r="M51" s="64" t="s">
        <v>46</v>
      </c>
      <c r="N51" s="76">
        <v>-2</v>
      </c>
      <c r="O51" s="35">
        <f>SUM(O50,O45,O41)</f>
        <v>0</v>
      </c>
      <c r="P51" s="35">
        <f t="shared" ref="P51:X51" si="84">SUM(P50,P45,P41)</f>
        <v>0</v>
      </c>
      <c r="Q51" s="35">
        <f t="shared" si="84"/>
        <v>0</v>
      </c>
      <c r="R51" s="35">
        <f t="shared" si="84"/>
        <v>0</v>
      </c>
      <c r="S51" s="35">
        <f t="shared" si="84"/>
        <v>0</v>
      </c>
      <c r="T51" s="35">
        <f t="shared" si="84"/>
        <v>0</v>
      </c>
      <c r="U51" s="35">
        <f t="shared" si="84"/>
        <v>0</v>
      </c>
      <c r="V51" s="35">
        <f t="shared" si="84"/>
        <v>0</v>
      </c>
      <c r="W51" s="35">
        <f t="shared" si="84"/>
        <v>0</v>
      </c>
      <c r="X51" s="35">
        <f t="shared" si="84"/>
        <v>0</v>
      </c>
    </row>
    <row r="52" spans="1:24" ht="15" thickBot="1">
      <c r="G52" s="103"/>
      <c r="H52" s="104"/>
      <c r="I52" s="104"/>
      <c r="J52" s="104"/>
      <c r="K52" s="104"/>
      <c r="L52" s="103"/>
      <c r="N52" s="10" t="s">
        <v>10</v>
      </c>
      <c r="O52" s="65" t="s">
        <v>55</v>
      </c>
      <c r="P52" s="65" t="s">
        <v>56</v>
      </c>
      <c r="Q52" s="65" t="s">
        <v>57</v>
      </c>
      <c r="R52" s="65" t="s">
        <v>58</v>
      </c>
      <c r="S52" s="65" t="s">
        <v>59</v>
      </c>
      <c r="T52" s="65" t="s">
        <v>60</v>
      </c>
      <c r="U52" s="65" t="s">
        <v>61</v>
      </c>
      <c r="V52" s="65" t="s">
        <v>62</v>
      </c>
      <c r="W52" s="65" t="s">
        <v>63</v>
      </c>
      <c r="X52" s="65" t="s">
        <v>64</v>
      </c>
    </row>
    <row r="53" spans="1:24">
      <c r="G53" s="103"/>
      <c r="H53" s="104"/>
      <c r="I53" s="104"/>
      <c r="J53" s="104"/>
      <c r="K53" s="104"/>
      <c r="L53" s="103"/>
      <c r="M53" s="1" t="s">
        <v>17</v>
      </c>
      <c r="O53" s="91"/>
      <c r="P53" s="91"/>
      <c r="Q53" s="91"/>
      <c r="R53" s="91"/>
      <c r="S53" s="91"/>
      <c r="T53" s="91"/>
      <c r="U53" s="91"/>
      <c r="V53" s="91"/>
      <c r="W53" s="91"/>
      <c r="X53" s="91"/>
    </row>
    <row r="54" spans="1:24">
      <c r="G54" s="103"/>
      <c r="H54" s="104"/>
      <c r="I54" s="104"/>
      <c r="J54" s="104"/>
      <c r="K54" s="104"/>
      <c r="L54" s="103"/>
      <c r="M54" s="1" t="s">
        <v>77</v>
      </c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" thickBot="1">
      <c r="A55" s="1" t="s">
        <v>65</v>
      </c>
      <c r="B55" s="1" t="s">
        <v>66</v>
      </c>
      <c r="C55" s="7" t="s">
        <v>67</v>
      </c>
      <c r="D55" s="7"/>
      <c r="E55" s="7" t="s">
        <v>68</v>
      </c>
      <c r="F55" s="7"/>
      <c r="G55" s="105" t="s">
        <v>69</v>
      </c>
      <c r="H55" s="106"/>
      <c r="I55" s="106" t="s">
        <v>70</v>
      </c>
      <c r="J55" s="106"/>
      <c r="K55" s="106" t="s">
        <v>71</v>
      </c>
      <c r="L55" s="105"/>
      <c r="M55" s="1" t="s">
        <v>78</v>
      </c>
      <c r="O55" s="32">
        <f>SUM(O53:O54)</f>
        <v>0</v>
      </c>
      <c r="P55" s="32">
        <f t="shared" ref="P55:X55" si="85">SUM(P53:P54)</f>
        <v>0</v>
      </c>
      <c r="Q55" s="32">
        <f t="shared" si="85"/>
        <v>0</v>
      </c>
      <c r="R55" s="32">
        <f t="shared" si="85"/>
        <v>0</v>
      </c>
      <c r="S55" s="32">
        <f t="shared" si="85"/>
        <v>0</v>
      </c>
      <c r="T55" s="32">
        <f t="shared" si="85"/>
        <v>0</v>
      </c>
      <c r="U55" s="32">
        <f t="shared" si="85"/>
        <v>0</v>
      </c>
      <c r="V55" s="32">
        <f t="shared" si="85"/>
        <v>0</v>
      </c>
      <c r="W55" s="32">
        <f t="shared" si="85"/>
        <v>0</v>
      </c>
      <c r="X55" s="32">
        <f t="shared" si="85"/>
        <v>0</v>
      </c>
    </row>
    <row r="56" spans="1:24" ht="15" thickBot="1">
      <c r="C56" s="85" t="s">
        <v>55</v>
      </c>
      <c r="D56" s="86" t="s">
        <v>56</v>
      </c>
      <c r="E56" s="85" t="s">
        <v>55</v>
      </c>
      <c r="F56" s="86" t="s">
        <v>56</v>
      </c>
      <c r="G56" s="107" t="s">
        <v>55</v>
      </c>
      <c r="H56" s="108" t="s">
        <v>56</v>
      </c>
      <c r="I56" s="109" t="s">
        <v>55</v>
      </c>
      <c r="J56" s="108" t="s">
        <v>56</v>
      </c>
      <c r="K56" s="109" t="s">
        <v>55</v>
      </c>
      <c r="L56" s="110" t="s">
        <v>56</v>
      </c>
      <c r="M56" s="1" t="s">
        <v>79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>
      <c r="A57" s="26" t="s">
        <v>73</v>
      </c>
      <c r="B57" s="87">
        <v>78000</v>
      </c>
      <c r="C57" s="37">
        <v>1.8</v>
      </c>
      <c r="D57" s="38">
        <v>1.8</v>
      </c>
      <c r="E57" s="37">
        <v>4.8</v>
      </c>
      <c r="F57" s="38">
        <v>4.9000000000000004</v>
      </c>
      <c r="G57" s="111">
        <v>3.2</v>
      </c>
      <c r="H57" s="112">
        <v>3.3</v>
      </c>
      <c r="I57" s="113">
        <v>5.9</v>
      </c>
      <c r="J57" s="112">
        <v>6</v>
      </c>
      <c r="K57" s="113">
        <v>1.1000000000000001</v>
      </c>
      <c r="L57" s="114">
        <v>1.2</v>
      </c>
      <c r="M57" s="1" t="s">
        <v>80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>
      <c r="A58" s="29" t="s">
        <v>74</v>
      </c>
      <c r="B58" s="88">
        <v>82000</v>
      </c>
      <c r="C58" s="37">
        <v>1.7</v>
      </c>
      <c r="D58" s="38">
        <v>1.8</v>
      </c>
      <c r="E58" s="37">
        <v>3.9</v>
      </c>
      <c r="F58" s="38">
        <v>4</v>
      </c>
      <c r="G58" s="111">
        <v>3.1</v>
      </c>
      <c r="H58" s="112">
        <v>3.5</v>
      </c>
      <c r="I58" s="113">
        <v>5.8</v>
      </c>
      <c r="J58" s="112">
        <v>5.9</v>
      </c>
      <c r="K58" s="113">
        <v>0.9</v>
      </c>
      <c r="L58" s="114">
        <v>1</v>
      </c>
      <c r="M58" s="1" t="s">
        <v>81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5" thickBot="1">
      <c r="A59" s="29" t="s">
        <v>75</v>
      </c>
      <c r="B59" s="88">
        <v>83000</v>
      </c>
      <c r="C59" s="37">
        <v>1.5</v>
      </c>
      <c r="D59" s="38">
        <v>1.6</v>
      </c>
      <c r="E59" s="37">
        <v>4.5</v>
      </c>
      <c r="F59" s="38">
        <v>4.5999999999999996</v>
      </c>
      <c r="G59" s="111">
        <v>2.8</v>
      </c>
      <c r="H59" s="112">
        <v>3</v>
      </c>
      <c r="I59" s="113">
        <v>5.9</v>
      </c>
      <c r="J59" s="112">
        <v>6</v>
      </c>
      <c r="K59" s="113">
        <v>0.8</v>
      </c>
      <c r="L59" s="114">
        <v>0.9</v>
      </c>
      <c r="M59" s="1" t="s">
        <v>44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5" thickBot="1">
      <c r="A60" s="39" t="s">
        <v>76</v>
      </c>
      <c r="B60" s="89">
        <v>86000</v>
      </c>
      <c r="C60" s="37">
        <v>2.4</v>
      </c>
      <c r="D60" s="38">
        <v>2.2999999999999998</v>
      </c>
      <c r="E60" s="37">
        <v>4.3</v>
      </c>
      <c r="F60" s="38">
        <v>4.4000000000000004</v>
      </c>
      <c r="G60" s="111">
        <v>3.1</v>
      </c>
      <c r="H60" s="112">
        <v>3.2</v>
      </c>
      <c r="I60" s="113">
        <v>5.4</v>
      </c>
      <c r="J60" s="112">
        <v>5.5</v>
      </c>
      <c r="K60" s="113">
        <v>0.9</v>
      </c>
      <c r="L60" s="114">
        <v>1.1000000000000001</v>
      </c>
      <c r="M60" s="84" t="s">
        <v>82</v>
      </c>
      <c r="N60" s="92"/>
      <c r="O60" s="93">
        <f>SUM(O55:O59)</f>
        <v>0</v>
      </c>
      <c r="P60" s="93">
        <f t="shared" ref="P60:X60" si="86">SUM(P55:P59)</f>
        <v>0</v>
      </c>
      <c r="Q60" s="93">
        <f t="shared" si="86"/>
        <v>0</v>
      </c>
      <c r="R60" s="93">
        <f t="shared" si="86"/>
        <v>0</v>
      </c>
      <c r="S60" s="93">
        <f t="shared" si="86"/>
        <v>0</v>
      </c>
      <c r="T60" s="93">
        <f t="shared" si="86"/>
        <v>0</v>
      </c>
      <c r="U60" s="93">
        <f t="shared" si="86"/>
        <v>0</v>
      </c>
      <c r="V60" s="93">
        <f t="shared" si="86"/>
        <v>0</v>
      </c>
      <c r="W60" s="93">
        <f t="shared" si="86"/>
        <v>0</v>
      </c>
      <c r="X60" s="94">
        <f t="shared" si="86"/>
        <v>0</v>
      </c>
    </row>
    <row r="61" spans="1:24" ht="15" thickBot="1">
      <c r="A61" s="84" t="s">
        <v>72</v>
      </c>
      <c r="B61" s="90">
        <f>AVERAGE(B57:B60)</f>
        <v>82250</v>
      </c>
      <c r="C61" s="85">
        <f t="shared" ref="C61:L61" si="87">AVERAGE(C57:C60)</f>
        <v>1.85</v>
      </c>
      <c r="D61" s="86">
        <f t="shared" si="87"/>
        <v>1.875</v>
      </c>
      <c r="E61" s="85">
        <f t="shared" si="87"/>
        <v>4.375</v>
      </c>
      <c r="F61" s="86">
        <f t="shared" si="87"/>
        <v>4.4749999999999996</v>
      </c>
      <c r="G61" s="109">
        <f t="shared" si="87"/>
        <v>3.0500000000000003</v>
      </c>
      <c r="H61" s="108">
        <f t="shared" si="87"/>
        <v>3.25</v>
      </c>
      <c r="I61" s="109">
        <f t="shared" si="87"/>
        <v>5.75</v>
      </c>
      <c r="J61" s="108">
        <f t="shared" si="87"/>
        <v>5.85</v>
      </c>
      <c r="K61" s="109">
        <f t="shared" si="87"/>
        <v>0.92499999999999993</v>
      </c>
      <c r="L61" s="108">
        <f t="shared" si="87"/>
        <v>1.05</v>
      </c>
      <c r="N61" s="10" t="s">
        <v>10</v>
      </c>
      <c r="O61" s="65" t="s">
        <v>55</v>
      </c>
      <c r="P61" s="65" t="s">
        <v>56</v>
      </c>
      <c r="Q61" s="65" t="s">
        <v>57</v>
      </c>
      <c r="R61" s="65" t="s">
        <v>58</v>
      </c>
      <c r="S61" s="65" t="s">
        <v>59</v>
      </c>
      <c r="T61" s="65" t="s">
        <v>60</v>
      </c>
      <c r="U61" s="65" t="s">
        <v>61</v>
      </c>
      <c r="V61" s="65" t="s">
        <v>62</v>
      </c>
      <c r="W61" s="65" t="s">
        <v>63</v>
      </c>
      <c r="X61" s="65" t="s">
        <v>64</v>
      </c>
    </row>
    <row r="62" spans="1:24">
      <c r="B62" s="1" t="s">
        <v>85</v>
      </c>
      <c r="M62" s="1" t="s">
        <v>83</v>
      </c>
    </row>
    <row r="63" spans="1:24">
      <c r="B63" s="1" t="s">
        <v>83</v>
      </c>
      <c r="G63" s="104"/>
      <c r="H63" s="104"/>
      <c r="I63" s="104"/>
      <c r="J63" s="104"/>
      <c r="K63" s="104"/>
      <c r="L63" s="104"/>
      <c r="M63" s="1" t="s">
        <v>84</v>
      </c>
    </row>
    <row r="64" spans="1:24">
      <c r="G64" s="103"/>
      <c r="H64" s="104"/>
      <c r="I64" s="104"/>
      <c r="J64" s="104"/>
      <c r="K64" s="104"/>
      <c r="L64" s="103"/>
      <c r="M64" s="1" t="s">
        <v>85</v>
      </c>
      <c r="X64" s="115"/>
    </row>
    <row r="66" spans="11:25" ht="15" thickBot="1">
      <c r="K66" s="22" t="s">
        <v>101</v>
      </c>
      <c r="L66" s="116">
        <v>0.01</v>
      </c>
      <c r="M66" s="1" t="s">
        <v>86</v>
      </c>
      <c r="N66" s="1">
        <v>0.8</v>
      </c>
    </row>
    <row r="67" spans="11:25" ht="15" thickBot="1">
      <c r="K67" s="22" t="s">
        <v>102</v>
      </c>
      <c r="L67" s="116">
        <v>0.06</v>
      </c>
      <c r="M67" s="1" t="s">
        <v>87</v>
      </c>
      <c r="N67" s="96">
        <f>L66+L67*N66</f>
        <v>5.8000000000000003E-2</v>
      </c>
    </row>
    <row r="68" spans="11:25" ht="15" thickBot="1">
      <c r="K68" s="22" t="s">
        <v>103</v>
      </c>
      <c r="L68" s="116">
        <v>0.03</v>
      </c>
      <c r="M68" s="1" t="s">
        <v>88</v>
      </c>
      <c r="N68" s="95">
        <f>L68</f>
        <v>0.03</v>
      </c>
    </row>
    <row r="69" spans="11:25">
      <c r="M69" s="1" t="s">
        <v>89</v>
      </c>
    </row>
    <row r="70" spans="11:25">
      <c r="M70" s="1" t="s">
        <v>90</v>
      </c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</row>
    <row r="71" spans="11:25">
      <c r="M71" s="1" t="s">
        <v>91</v>
      </c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</row>
    <row r="72" spans="11:25">
      <c r="M72" s="1" t="s">
        <v>92</v>
      </c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</row>
    <row r="73" spans="11:25" ht="15" thickBot="1">
      <c r="M73" s="1" t="s">
        <v>93</v>
      </c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</row>
    <row r="74" spans="11:25" ht="15" thickBot="1">
      <c r="M74" s="84" t="s">
        <v>94</v>
      </c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7"/>
    </row>
    <row r="75" spans="11:25">
      <c r="N75" s="102"/>
      <c r="O75" s="102"/>
      <c r="P75" s="102"/>
      <c r="Q75" s="102"/>
      <c r="R75" s="102"/>
      <c r="S75" s="102"/>
      <c r="T75" s="102"/>
      <c r="U75" s="102"/>
      <c r="V75" s="102"/>
      <c r="W75" s="102"/>
    </row>
    <row r="76" spans="11:25">
      <c r="M76" s="1" t="s">
        <v>95</v>
      </c>
      <c r="O76" s="96"/>
      <c r="P76" s="96"/>
      <c r="Q76" s="96"/>
      <c r="R76" s="96"/>
      <c r="S76" s="96"/>
      <c r="T76" s="96"/>
      <c r="U76" s="96"/>
      <c r="V76" s="96"/>
      <c r="W76" s="96"/>
    </row>
    <row r="77" spans="11:25">
      <c r="M77" s="1" t="s">
        <v>96</v>
      </c>
      <c r="O77" s="96"/>
      <c r="P77" s="96"/>
      <c r="Q77" s="96"/>
      <c r="R77" s="96"/>
      <c r="S77" s="96"/>
      <c r="T77" s="96"/>
      <c r="U77" s="96"/>
      <c r="V77" s="96"/>
      <c r="W77" s="96"/>
    </row>
    <row r="78" spans="11:25">
      <c r="M78" s="1" t="s">
        <v>97</v>
      </c>
      <c r="O78" s="96"/>
      <c r="P78" s="96"/>
      <c r="Q78" s="96"/>
      <c r="R78" s="96"/>
      <c r="S78" s="96"/>
      <c r="T78" s="96"/>
      <c r="U78" s="96"/>
      <c r="V78" s="96"/>
      <c r="W78" s="96"/>
      <c r="Y78" s="96"/>
    </row>
    <row r="79" spans="11:25">
      <c r="M79" s="1" t="s">
        <v>98</v>
      </c>
    </row>
    <row r="80" spans="11:25" ht="15" thickBot="1">
      <c r="M80" s="1" t="s">
        <v>99</v>
      </c>
      <c r="Y80" s="115"/>
    </row>
    <row r="81" spans="13:24" ht="15" thickBot="1">
      <c r="M81" s="99" t="s">
        <v>100</v>
      </c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1"/>
    </row>
    <row r="82" spans="13:24">
      <c r="M82" s="1" t="s">
        <v>85</v>
      </c>
    </row>
  </sheetData>
  <pageMargins left="0.7" right="0.7" top="0.75" bottom="0.75" header="0.3" footer="0.3"/>
  <pageSetup paperSize="9"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Enunciado</vt:lpstr>
      <vt:lpstr>Datos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Ricardo</cp:lastModifiedBy>
  <dcterms:created xsi:type="dcterms:W3CDTF">2016-11-20T15:33:04Z</dcterms:created>
  <dcterms:modified xsi:type="dcterms:W3CDTF">2016-11-28T17:51:03Z</dcterms:modified>
</cp:coreProperties>
</file>